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ettings" sheetId="2" state="visible" r:id="rId2"/>
    <sheet xmlns:r="http://schemas.openxmlformats.org/officeDocument/2006/relationships" name="Asset register" sheetId="3" state="visible" r:id="rId3"/>
    <sheet xmlns:r="http://schemas.openxmlformats.org/officeDocument/2006/relationships" name="Depreciation schedule" sheetId="4" state="visible" r:id="rId4"/>
    <sheet xmlns:r="http://schemas.openxmlformats.org/officeDocument/2006/relationships" name="Summary" sheetId="5" state="visible" r:id="rId5"/>
    <sheet xmlns:r="http://schemas.openxmlformats.org/officeDocument/2006/relationships" name="Lists" sheetId="6" state="visible" r:id="rId6"/>
  </sheets>
  <definedNames>
    <definedName name="_xlnm._FilterDatabase" localSheetId="2" hidden="1">'Asset register'!$A$1:$AN$501</definedName>
    <definedName name="_xlnm.Print_Titles" localSheetId="2">'Asset register'!$1:$1</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b val="1"/>
      <color rgb="000F172A"/>
      <sz val="16"/>
    </font>
    <font>
      <b val="1"/>
      <color rgb="000D9488"/>
      <sz val="12"/>
    </font>
    <font>
      <b val="1"/>
      <color rgb="00FFFFFF"/>
    </font>
    <font>
      <b val="1"/>
      <color rgb="000F172A"/>
    </font>
    <font>
      <b val="1"/>
      <color rgb="000D9488"/>
      <u val="single"/>
    </font>
    <font>
      <i val="1"/>
      <color rgb="00475569"/>
    </font>
    <font>
      <color rgb="000F172A"/>
    </font>
  </fonts>
  <fills count="7">
    <fill>
      <patternFill/>
    </fill>
    <fill>
      <patternFill patternType="gray125"/>
    </fill>
    <fill>
      <patternFill patternType="solid">
        <fgColor rgb="000D9488"/>
      </patternFill>
    </fill>
    <fill>
      <patternFill patternType="solid">
        <fgColor rgb="00334155"/>
      </patternFill>
    </fill>
    <fill>
      <patternFill patternType="solid">
        <fgColor rgb="00FFF7DB"/>
      </patternFill>
    </fill>
    <fill>
      <patternFill patternType="solid">
        <fgColor rgb="00CCFBF1"/>
      </patternFill>
    </fill>
    <fill>
      <patternFill patternType="solid">
        <fgColor rgb="00F1F5F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horizontal="right" vertical="top"/>
    </xf>
    <xf numFmtId="0" fontId="3" fillId="2" borderId="0" pivotButton="0" quotePrefix="0" xfId="0"/>
    <xf numFmtId="0" fontId="3" fillId="3" borderId="0" pivotButton="0" quotePrefix="0" xfId="0"/>
    <xf numFmtId="0" fontId="4" fillId="4" borderId="0" pivotButton="0" quotePrefix="0" xfId="0"/>
    <xf numFmtId="0" fontId="5" fillId="0" borderId="0" pivotButton="0" quotePrefix="0" xfId="0"/>
    <xf numFmtId="0" fontId="6" fillId="0" borderId="0" pivotButton="0" quotePrefix="0" xfId="0"/>
    <xf numFmtId="0" fontId="4" fillId="0" borderId="0" pivotButton="0" quotePrefix="0" xfId="0"/>
    <xf numFmtId="164" fontId="0" fillId="5" borderId="1" pivotButton="0" quotePrefix="0" xfId="0"/>
    <xf numFmtId="0" fontId="0" fillId="5" borderId="1" pivotButton="0" quotePrefix="0" xfId="0"/>
    <xf numFmtId="0" fontId="3" fillId="2" borderId="1" applyAlignment="1" pivotButton="0" quotePrefix="0" xfId="0">
      <alignment vertical="center" wrapText="1"/>
    </xf>
    <xf numFmtId="0" fontId="3" fillId="3" borderId="1" applyAlignment="1" pivotButton="0" quotePrefix="0" xfId="0">
      <alignment vertical="center" wrapText="1"/>
    </xf>
    <xf numFmtId="0" fontId="0" fillId="4" borderId="0" pivotButton="0" quotePrefix="0" xfId="0"/>
    <xf numFmtId="164" fontId="0" fillId="4" borderId="0" pivotButton="0" quotePrefix="0" xfId="0"/>
    <xf numFmtId="4" fontId="0" fillId="4" borderId="0" pivotButton="0" quotePrefix="0" xfId="0"/>
    <xf numFmtId="1" fontId="0" fillId="4" borderId="0" pivotButton="0" quotePrefix="0" xfId="0"/>
    <xf numFmtId="165" fontId="0" fillId="4" borderId="0" pivotButton="0" quotePrefix="0" xfId="0"/>
    <xf numFmtId="164" fontId="0" fillId="0" borderId="0" pivotButton="0" quotePrefix="0" xfId="0"/>
    <xf numFmtId="4" fontId="0" fillId="0" borderId="0" pivotButton="0" quotePrefix="0" xfId="0"/>
    <xf numFmtId="1" fontId="0" fillId="0" borderId="0" pivotButton="0" quotePrefix="0" xfId="0"/>
    <xf numFmtId="4" fontId="0" fillId="6" borderId="0" pivotButton="0" quotePrefix="0" xfId="0"/>
    <xf numFmtId="165" fontId="0" fillId="0" borderId="0" pivotButton="0" quotePrefix="0" xfId="0"/>
    <xf numFmtId="1" fontId="0" fillId="6" borderId="0" pivotButton="0" quotePrefix="0" xfId="0"/>
    <xf numFmtId="4" fontId="0" fillId="5" borderId="1" pivotButton="0" quotePrefix="0" xfId="0"/>
    <xf numFmtId="1" fontId="0" fillId="5" borderId="1" pivotButton="0" quotePrefix="0" xfId="0"/>
    <xf numFmtId="165" fontId="0" fillId="5" borderId="1" pivotButton="0" quotePrefix="0" xfId="0"/>
    <xf numFmtId="0" fontId="0" fillId="0" borderId="1" pivotButton="0" quotePrefix="0" xfId="0"/>
    <xf numFmtId="4" fontId="0" fillId="0" borderId="1" pivotButton="0" quotePrefix="0" xfId="0"/>
    <xf numFmtId="0" fontId="4" fillId="0" borderId="1" pivotButton="0" quotePrefix="0" xfId="0"/>
    <xf numFmtId="4" fontId="4" fillId="0" borderId="1" pivotButton="0" quotePrefix="0" xfId="0"/>
    <xf numFmtId="0" fontId="7" fillId="0" borderId="1" pivotButton="0" quotePrefix="0" xfId="0"/>
    <xf numFmtId="0" fontId="0" fillId="6" borderId="1" pivotButton="0" quotePrefix="0" xfId="0"/>
    <xf numFmtId="4" fontId="0" fillId="6" borderId="1" pivotButton="0" quotePrefix="0" xfId="0"/>
    <xf numFmtId="4" fontId="4" fillId="6"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setavo.com/free-asset-tracking-software" TargetMode="External" Id="rId1"/></Relationships>
</file>

<file path=xl/worksheets/_rels/sheet2.xml.rels><Relationships xmlns="http://schemas.openxmlformats.org/package/2006/relationships"><Relationship Type="http://schemas.openxmlformats.org/officeDocument/2006/relationships/hyperlink" Target="https://asetavo.com/free-asset-tracking-software" TargetMode="External" Id="rId1"/></Relationships>
</file>

<file path=xl/worksheets/_rels/sheet4.xml.rels><Relationships xmlns="http://schemas.openxmlformats.org/package/2006/relationships"><Relationship Type="http://schemas.openxmlformats.org/officeDocument/2006/relationships/hyperlink" Target="https://asetavo.com/free-asset-tracking-software" TargetMode="External" Id="rId1"/></Relationships>
</file>

<file path=xl/worksheets/_rels/sheet5.xml.rels><Relationships xmlns="http://schemas.openxmlformats.org/package/2006/relationships"><Relationship Type="http://schemas.openxmlformats.org/officeDocument/2006/relationships/hyperlink" Target="https://asetavo.com/free-asset-tracking-software" TargetMode="External" Id="rId1"/></Relationships>
</file>

<file path=xl/worksheets/sheet1.xml><?xml version="1.0" encoding="utf-8"?>
<worksheet xmlns="http://schemas.openxmlformats.org/spreadsheetml/2006/main">
  <sheetPr>
    <outlinePr summaryBelow="1" summaryRight="1"/>
    <pageSetUpPr/>
  </sheetPr>
  <dimension ref="A1:B45"/>
  <sheetViews>
    <sheetView showGridLines="0" workbookViewId="0">
      <selection activeCell="A1" sqref="A1"/>
    </sheetView>
  </sheetViews>
  <sheetFormatPr baseColWidth="8" defaultRowHeight="15"/>
  <cols>
    <col width="4" customWidth="1" min="1" max="1"/>
    <col width="120" customWidth="1" min="2" max="2"/>
  </cols>
  <sheetData>
    <row r="1">
      <c r="B1" s="1" t="inlineStr">
        <is>
          <t>Fixed asset register template with depreciation</t>
        </is>
      </c>
    </row>
    <row r="2" ht="48" customHeight="1">
      <c r="B2" s="2" t="inlineStr">
        <is>
          <t>A fixed asset register for Excel or Google Sheets. One row per asset, with live formulas for accumulated depreciation, net book value (NBV), this year’s depreciation charge and the gain or loss on disposal. Supports straight-line, reducing balance (written-down value, WDV), double-declining balance (DDB) and sum-of-the-years’-digits (SYD).</t>
        </is>
      </c>
    </row>
    <row r="4">
      <c r="B4" s="3" t="inlineStr">
        <is>
          <t>How to use it</t>
        </is>
      </c>
    </row>
    <row r="5" ht="30" customHeight="1">
      <c r="A5" s="4" t="inlineStr">
        <is>
          <t>1.</t>
        </is>
      </c>
      <c r="B5" s="2" t="inlineStr">
        <is>
          <t>Go to the Settings sheet and enter your reporting date (the date you want depreciation calculated to) and the first day of your financial year.</t>
        </is>
      </c>
    </row>
    <row r="6" ht="30" customHeight="1">
      <c r="A6" s="4" t="inlineStr">
        <is>
          <t>2.</t>
        </is>
      </c>
      <c r="B6" s="2" t="inlineStr">
        <is>
          <t>On the “Asset register” sheet, read the yellow example rows, then delete them (select the rows → right-click → Delete).</t>
        </is>
      </c>
    </row>
    <row r="7" ht="15" customHeight="1">
      <c r="A7" s="4" t="inlineStr">
        <is>
          <t>3.</t>
        </is>
      </c>
      <c r="B7" s="2" t="inlineStr">
        <is>
          <t>Enter one row per asset. Give every asset a unique Asset ID and print the same ID on its tag or label.</t>
        </is>
      </c>
    </row>
    <row r="8" ht="30" customHeight="1">
      <c r="A8" s="4" t="inlineStr">
        <is>
          <t>4.</t>
        </is>
      </c>
      <c r="B8" s="2" t="inlineStr">
        <is>
          <t>Fill in Purchase cost, In-service date, Residual value, Useful life (months) and Depreciation method. For “Reducing balance”, also enter the annual rate in column AG (e.g. 25%).</t>
        </is>
      </c>
    </row>
    <row r="9" ht="30" customHeight="1">
      <c r="A9" s="4" t="inlineStr">
        <is>
          <t>5.</t>
        </is>
      </c>
      <c r="B9" s="2" t="inlineStr">
        <is>
          <t>Columns X, Y and AJ–AN calculate themselves. Formulas are pre-filled for 500 rows — copy the last row down if you need more.</t>
        </is>
      </c>
    </row>
    <row r="10" ht="30" customHeight="1">
      <c r="A10" s="4" t="inlineStr">
        <is>
          <t>6.</t>
        </is>
      </c>
      <c r="B10" s="2" t="inlineStr">
        <is>
          <t>When an asset is sold or scrapped, set Status to Disposed and enter the Disposal date and Disposal proceeds; depreciation stops at the disposal date and the gain or loss appears in column AN.</t>
        </is>
      </c>
    </row>
    <row r="11" ht="30" customHeight="1">
      <c r="A11" s="4" t="inlineStr">
        <is>
          <t>7.</t>
        </is>
      </c>
      <c r="B11" s="2" t="inlineStr">
        <is>
          <t>Use the Summary sheet for totals by category, and the Depreciation schedule sheet to see any single asset year by year.</t>
        </is>
      </c>
    </row>
    <row r="13">
      <c r="B13" s="3" t="inlineStr">
        <is>
          <t>How the formulas work</t>
        </is>
      </c>
    </row>
    <row r="14" ht="30" customHeight="1">
      <c r="A14" s="4" t="inlineStr">
        <is>
          <t>•</t>
        </is>
      </c>
      <c r="B14" s="2" t="inlineStr">
        <is>
          <t>Full-month convention: the month an asset goes into service counts as a full month of depreciation, and so does the month of disposal.</t>
        </is>
      </c>
    </row>
    <row r="15" ht="30" customHeight="1">
      <c r="A15" s="4" t="inlineStr">
        <is>
          <t>•</t>
        </is>
      </c>
      <c r="B15" s="2" t="inlineStr">
        <is>
          <t>Straight-line: (cost − residual value) × months in service ÷ useful life in months, stopping at the end of the useful life.</t>
        </is>
      </c>
    </row>
    <row r="16" ht="30" customHeight="1">
      <c r="A16" s="4" t="inlineStr">
        <is>
          <t>•</t>
        </is>
      </c>
      <c r="B16" s="2" t="inlineStr">
        <is>
          <t>Reducing balance (WDV): each year the rate in column AG is applied to the opening book value; part-years are pro-rated by month. The useful life is not used, and the book value never goes below the residual value.</t>
        </is>
      </c>
    </row>
    <row r="17" ht="15" customHeight="1">
      <c r="A17" s="4" t="inlineStr">
        <is>
          <t>•</t>
        </is>
      </c>
      <c r="B17" s="2" t="inlineStr">
        <is>
          <t>DDB: reducing balance at twice the straight-line rate (2 ÷ useful life in years), never below the residual value.</t>
        </is>
      </c>
    </row>
    <row r="18" ht="30" customHeight="1">
      <c r="A18" s="4" t="inlineStr">
        <is>
          <t>•</t>
        </is>
      </c>
      <c r="B18" s="2" t="inlineStr">
        <is>
          <t>SYD: (cost − residual) × remaining years ÷ sum of the years’ digits, pro-rated by month, fully depreciated at the end of the useful life.</t>
        </is>
      </c>
    </row>
    <row r="19" ht="30" customHeight="1">
      <c r="A19" s="4" t="inlineStr">
        <is>
          <t>•</t>
        </is>
      </c>
      <c r="B19" s="2" t="inlineStr">
        <is>
          <t>Net book value = purchase cost − accumulated depreciation. Gain/(loss) on disposal = disposal proceeds − NBV at the disposal date.</t>
        </is>
      </c>
    </row>
    <row r="20" ht="30" customHeight="1">
      <c r="A20" s="4" t="inlineStr">
        <is>
          <t>•</t>
        </is>
      </c>
      <c r="B20" s="2" t="inlineStr">
        <is>
          <t>Depreciation this year = accumulated depreciation at the reporting date − accumulated depreciation at the end of the previous financial year.</t>
        </is>
      </c>
    </row>
    <row r="21" ht="30" customHeight="1">
      <c r="A21" s="4" t="inlineStr">
        <is>
          <t>•</t>
        </is>
      </c>
      <c r="B21" s="2" t="inlineStr">
        <is>
          <t>This is book (accounting) depreciation. Tax depreciation (capital allowances, MACRS, wear-and-tear classes) follows your local rules — check with your accountant.</t>
        </is>
      </c>
    </row>
    <row r="23">
      <c r="B23" s="3" t="inlineStr">
        <is>
          <t>Sheets in this workbook</t>
        </is>
      </c>
    </row>
    <row r="24" ht="15" customHeight="1">
      <c r="A24" s="4" t="inlineStr">
        <is>
          <t>•</t>
        </is>
      </c>
      <c r="B24" s="2" t="inlineStr">
        <is>
          <t>Settings — reporting date and financial-year start used by every formula.</t>
        </is>
      </c>
    </row>
    <row r="25" ht="15" customHeight="1">
      <c r="A25" s="4" t="inlineStr">
        <is>
          <t>•</t>
        </is>
      </c>
      <c r="B25" s="2" t="inlineStr">
        <is>
          <t>Asset register — the register itself: 32 standard asset columns plus calculation and disposal columns.</t>
        </is>
      </c>
    </row>
    <row r="26" ht="15" customHeight="1">
      <c r="A26" s="4" t="inlineStr">
        <is>
          <t>•</t>
        </is>
      </c>
      <c r="B26" s="2" t="inlineStr">
        <is>
          <t>Depreciation schedule — a year-by-year schedule for one asset with any of the four methods.</t>
        </is>
      </c>
    </row>
    <row r="27" ht="15" customHeight="1">
      <c r="A27" s="4" t="inlineStr">
        <is>
          <t>•</t>
        </is>
      </c>
      <c r="B27" s="2" t="inlineStr">
        <is>
          <t>Summary — totals by category for assets still held (excludes Disposed and Written off).</t>
        </is>
      </c>
    </row>
    <row r="28" ht="15" customHeight="1">
      <c r="A28" s="4" t="inlineStr">
        <is>
          <t>•</t>
        </is>
      </c>
      <c r="B28" s="2" t="inlineStr">
        <is>
          <t>Lists — the values behind the dropdowns. Edit them to match your organisation.</t>
        </is>
      </c>
    </row>
    <row r="30">
      <c r="B30" s="3" t="inlineStr">
        <is>
          <t>Using it in Google Sheets</t>
        </is>
      </c>
    </row>
    <row r="31" ht="30" customHeight="1">
      <c r="A31" s="4" t="inlineStr">
        <is>
          <t>•</t>
        </is>
      </c>
      <c r="B31" s="2" t="inlineStr">
        <is>
          <t>Upload the .xlsx file to Google Drive, open it, then choose File → Save as Google Sheets. Or, in a blank Google Sheet, use File → Import → Upload and choose “Replace spreadsheet”.</t>
        </is>
      </c>
    </row>
    <row r="32" ht="30" customHeight="1">
      <c r="A32" s="4" t="inlineStr">
        <is>
          <t>•</t>
        </is>
      </c>
      <c r="B32" s="2" t="inlineStr">
        <is>
          <t>Formulas, dropdown lists and frozen header rows carry over. Check that your spreadsheet locale uses the same date format (File → Settings → Locale) so typed dates are recognised.</t>
        </is>
      </c>
    </row>
    <row r="34">
      <c r="B34" s="3" t="inlineStr">
        <is>
          <t>Moving the register into Asetavo later</t>
        </is>
      </c>
    </row>
    <row r="35" ht="30" customHeight="1">
      <c r="A35" s="4" t="inlineStr">
        <is>
          <t>•</t>
        </is>
      </c>
      <c r="B35" s="2" t="inlineStr">
        <is>
          <t>Columns A–AF use the same names as Asetavo’s asset fields, so the Excel/CSV import wizard can match them. Upload the workbook, pick the “Asset register” sheet and check the suggested matches.</t>
        </is>
      </c>
    </row>
    <row r="36" ht="30" customHeight="1">
      <c r="A36" s="4" t="inlineStr">
        <is>
          <t>•</t>
        </is>
      </c>
      <c r="B36" s="2" t="inlineStr">
        <is>
          <t>Skip the calculated columns (Accumulated depreciation, Net book value and AG–AN) when you match columns: in Asetavo, depreciation is calculated by the system on the Business plan.</t>
        </is>
      </c>
    </row>
    <row r="37" ht="30" customHeight="1">
      <c r="A37" s="4" t="inlineStr">
        <is>
          <t>•</t>
        </is>
      </c>
      <c r="B37" s="2" t="inlineStr">
        <is>
          <t>Delete the example rows first. The free Starter plan holds up to 100 assets and 2 users; Excel and CSV export are included on every plan.</t>
        </is>
      </c>
    </row>
    <row r="39">
      <c r="B39" s="3" t="inlineStr">
        <is>
          <t>Colour key</t>
        </is>
      </c>
    </row>
    <row r="40">
      <c r="B40" s="5" t="inlineStr">
        <is>
          <t>Teal header — a column you fill in.</t>
        </is>
      </c>
    </row>
    <row r="41">
      <c r="B41" s="6" t="inlineStr">
        <is>
          <t>Dark header and grey cells — calculated by a formula. Don’t type over these cells.</t>
        </is>
      </c>
    </row>
    <row r="42">
      <c r="B42" s="7" t="inlineStr">
        <is>
          <t>Pale-yellow rows — example rows. Read them, then delete them before you start.</t>
        </is>
      </c>
    </row>
    <row r="44">
      <c r="B44" s="8" t="inlineStr">
        <is>
          <t>Track this automatically with Asetavo — asetavo.com/free-asset-tracking-software</t>
        </is>
      </c>
    </row>
    <row r="45">
      <c r="B45" s="9" t="inlineStr">
        <is>
          <t>Free template from asetavo.com/templates · version 2026-10 · adapt it to your organisation’s policies and accounting rules.</t>
        </is>
      </c>
    </row>
  </sheetData>
  <hyperlinks>
    <hyperlink xmlns:r="http://schemas.openxmlformats.org/officeDocument/2006/relationships" ref="B44"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6" customWidth="1" min="1" max="1"/>
    <col width="16" customWidth="1" min="2" max="2"/>
    <col width="80" customWidth="1" min="3" max="3"/>
  </cols>
  <sheetData>
    <row r="1">
      <c r="A1" s="1" t="inlineStr">
        <is>
          <t>Settings</t>
        </is>
      </c>
    </row>
    <row r="3">
      <c r="A3" s="10" t="inlineStr">
        <is>
          <t>Reporting date (depreciation calculated to)</t>
        </is>
      </c>
      <c r="B3" s="11" t="n">
        <v>46387</v>
      </c>
      <c r="C3" s="9" t="inlineStr">
        <is>
          <t>Usually the end of the month or financial year you are reporting on.</t>
        </is>
      </c>
    </row>
    <row r="4">
      <c r="A4" s="10" t="inlineStr">
        <is>
          <t>First day of the financial year</t>
        </is>
      </c>
      <c r="B4" s="11" t="n">
        <v>46023</v>
      </c>
      <c r="C4" s="9" t="inlineStr">
        <is>
          <t>Used for “Depreciation this year”. E.g. 1 July for a July–June year.</t>
        </is>
      </c>
    </row>
    <row r="5">
      <c r="A5" s="10" t="inlineStr">
        <is>
          <t>Reporting currency</t>
        </is>
      </c>
      <c r="B5" s="12" t="inlineStr">
        <is>
          <t>USD</t>
        </is>
      </c>
      <c r="C5" s="9" t="inlineStr">
        <is>
          <t>For your reference — the register does not convert currencies.</t>
        </is>
      </c>
    </row>
    <row r="8">
      <c r="A8" s="8" t="inlineStr">
        <is>
          <t>Track this automatically with Asetavo — asetavo.com/free-asset-tracking-software</t>
        </is>
      </c>
    </row>
  </sheetData>
  <hyperlinks>
    <hyperlink xmlns:r="http://schemas.openxmlformats.org/officeDocument/2006/relationships" ref="A8" r:id="rId1"/>
  </hyperlink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AN501"/>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28" customWidth="1" min="2" max="2"/>
    <col width="26" customWidth="1" min="3" max="3"/>
    <col width="18" customWidth="1" min="4" max="4"/>
    <col width="14" customWidth="1" min="5" max="5"/>
    <col width="16" customWidth="1" min="6" max="6"/>
    <col width="12" customWidth="1" min="7" max="7"/>
    <col width="9" customWidth="1" min="8" max="8"/>
    <col width="18" customWidth="1" min="9" max="9"/>
    <col width="14" customWidth="1" min="10" max="10"/>
    <col width="16" customWidth="1" min="11" max="11"/>
    <col width="14" customWidth="1" min="12" max="12"/>
    <col width="16" customWidth="1" min="13" max="13"/>
    <col width="18" customWidth="1" min="14" max="14"/>
    <col width="18" customWidth="1" min="15" max="15"/>
    <col width="15" customWidth="1" min="16" max="16"/>
    <col width="13" customWidth="1" min="17" max="17"/>
    <col width="13" customWidth="1" min="18" max="18"/>
    <col width="14" customWidth="1" min="19" max="19"/>
    <col width="10" customWidth="1" min="20" max="20"/>
    <col width="13" customWidth="1" min="21" max="21"/>
    <col width="11" customWidth="1" min="22" max="22"/>
    <col width="17" customWidth="1" min="23" max="23"/>
    <col width="15" customWidth="1" min="24" max="24"/>
    <col width="14" customWidth="1" min="25" max="25"/>
    <col width="10" customWidth="1" min="26" max="26"/>
    <col width="12" customWidth="1" min="27" max="27"/>
    <col width="11" customWidth="1" min="28" max="28"/>
    <col width="18" customWidth="1" min="29" max="29"/>
    <col width="13" customWidth="1" min="30" max="30"/>
    <col width="15" customWidth="1" min="31" max="31"/>
    <col width="30" customWidth="1" min="32" max="32"/>
    <col width="13" customWidth="1" min="33" max="33"/>
    <col width="13" customWidth="1" min="34" max="34"/>
    <col width="13" customWidth="1" min="35" max="35"/>
    <col width="11" customWidth="1" min="36" max="36"/>
    <col width="13" customWidth="1" min="37" max="37"/>
    <col width="15" customWidth="1" min="38" max="38"/>
    <col width="14" customWidth="1" min="39" max="39"/>
    <col width="14" customWidth="1" min="40" max="40"/>
  </cols>
  <sheetData>
    <row r="1" ht="45" customHeight="1">
      <c r="A1" s="13" t="inlineStr">
        <is>
          <t>Asset ID</t>
        </is>
      </c>
      <c r="B1" s="13" t="inlineStr">
        <is>
          <t>Asset name</t>
        </is>
      </c>
      <c r="C1" s="13" t="inlineStr">
        <is>
          <t>Description</t>
        </is>
      </c>
      <c r="D1" s="13" t="inlineStr">
        <is>
          <t>Category</t>
        </is>
      </c>
      <c r="E1" s="13" t="inlineStr">
        <is>
          <t>Sub-category</t>
        </is>
      </c>
      <c r="F1" s="13" t="inlineStr">
        <is>
          <t>Site / property</t>
        </is>
      </c>
      <c r="G1" s="13" t="inlineStr">
        <is>
          <t>Building</t>
        </is>
      </c>
      <c r="H1" s="13" t="inlineStr">
        <is>
          <t>Floor</t>
        </is>
      </c>
      <c r="I1" s="13" t="inlineStr">
        <is>
          <t>Room / location</t>
        </is>
      </c>
      <c r="J1" s="13" t="inlineStr">
        <is>
          <t>Department</t>
        </is>
      </c>
      <c r="K1" s="13" t="inlineStr">
        <is>
          <t>Custodian</t>
        </is>
      </c>
      <c r="L1" s="13" t="inlineStr">
        <is>
          <t>Manufacturer</t>
        </is>
      </c>
      <c r="M1" s="13" t="inlineStr">
        <is>
          <t>Model</t>
        </is>
      </c>
      <c r="N1" s="13" t="inlineStr">
        <is>
          <t>Serial number</t>
        </is>
      </c>
      <c r="O1" s="13" t="inlineStr">
        <is>
          <t>Supplier</t>
        </is>
      </c>
      <c r="P1" s="13" t="inlineStr">
        <is>
          <t>Invoice / PO number</t>
        </is>
      </c>
      <c r="Q1" s="13" t="inlineStr">
        <is>
          <t>Acquisition date</t>
        </is>
      </c>
      <c r="R1" s="13" t="inlineStr">
        <is>
          <t>In-service date</t>
        </is>
      </c>
      <c r="S1" s="13" t="inlineStr">
        <is>
          <t>Purchase cost</t>
        </is>
      </c>
      <c r="T1" s="13" t="inlineStr">
        <is>
          <t>Currency</t>
        </is>
      </c>
      <c r="U1" s="13" t="inlineStr">
        <is>
          <t>Residual value</t>
        </is>
      </c>
      <c r="V1" s="13" t="inlineStr">
        <is>
          <t>Useful life (months)</t>
        </is>
      </c>
      <c r="W1" s="13" t="inlineStr">
        <is>
          <t>Depreciation method</t>
        </is>
      </c>
      <c r="X1" s="14" t="inlineStr">
        <is>
          <t>Accumulated depreciation</t>
        </is>
      </c>
      <c r="Y1" s="14" t="inlineStr">
        <is>
          <t>Net book value</t>
        </is>
      </c>
      <c r="Z1" s="13" t="inlineStr">
        <is>
          <t>Condition</t>
        </is>
      </c>
      <c r="AA1" s="13" t="inlineStr">
        <is>
          <t>Status</t>
        </is>
      </c>
      <c r="AB1" s="13" t="inlineStr">
        <is>
          <t>Tag type</t>
        </is>
      </c>
      <c r="AC1" s="13" t="inlineStr">
        <is>
          <t>Tag code / EPC</t>
        </is>
      </c>
      <c r="AD1" s="13" t="inlineStr">
        <is>
          <t>Warranty expiry</t>
        </is>
      </c>
      <c r="AE1" s="13" t="inlineStr">
        <is>
          <t>Insurance reference</t>
        </is>
      </c>
      <c r="AF1" s="13" t="inlineStr">
        <is>
          <t>Notes</t>
        </is>
      </c>
      <c r="AG1" s="13" t="inlineStr">
        <is>
          <t>Reducing-balance rate (% a year)</t>
        </is>
      </c>
      <c r="AH1" s="13" t="inlineStr">
        <is>
          <t>Disposal date</t>
        </is>
      </c>
      <c r="AI1" s="13" t="inlineStr">
        <is>
          <t>Disposal proceeds</t>
        </is>
      </c>
      <c r="AJ1" s="14" t="inlineStr">
        <is>
          <t>Months depreciated</t>
        </is>
      </c>
      <c r="AK1" s="14" t="inlineStr">
        <is>
          <t>Months to end of last financial year</t>
        </is>
      </c>
      <c r="AL1" s="14" t="inlineStr">
        <is>
          <t>Accumulated at start of this year</t>
        </is>
      </c>
      <c r="AM1" s="14" t="inlineStr">
        <is>
          <t>Depreciation this year</t>
        </is>
      </c>
      <c r="AN1" s="14" t="inlineStr">
        <is>
          <t>Gain / (loss) on disposal</t>
        </is>
      </c>
    </row>
    <row r="2">
      <c r="A2" s="15" t="inlineStr">
        <is>
          <t>AST-000123</t>
        </is>
      </c>
      <c r="B2" s="15" t="inlineStr">
        <is>
          <t>Dell Latitude 5440 laptop</t>
        </is>
      </c>
      <c r="C2" s="15" t="inlineStr">
        <is>
          <t>14in laptop, 16 GB RAM</t>
        </is>
      </c>
      <c r="D2" s="15" t="inlineStr">
        <is>
          <t>IT equipment</t>
        </is>
      </c>
      <c r="E2" s="15" t="inlineStr">
        <is>
          <t>Laptops</t>
        </is>
      </c>
      <c r="F2" s="15" t="inlineStr">
        <is>
          <t>Head Office</t>
        </is>
      </c>
      <c r="G2" s="15" t="inlineStr">
        <is>
          <t>Block A</t>
        </is>
      </c>
      <c r="H2" s="15" t="inlineStr">
        <is>
          <t>Floor 2</t>
        </is>
      </c>
      <c r="I2" s="15" t="inlineStr">
        <is>
          <t>Finance office 2.04</t>
        </is>
      </c>
      <c r="J2" s="15" t="inlineStr">
        <is>
          <t>Finance</t>
        </is>
      </c>
      <c r="K2" s="15" t="inlineStr">
        <is>
          <t>Amina Hassan</t>
        </is>
      </c>
      <c r="L2" s="15" t="inlineStr">
        <is>
          <t>Dell</t>
        </is>
      </c>
      <c r="M2" s="15" t="inlineStr">
        <is>
          <t>Latitude 5440</t>
        </is>
      </c>
      <c r="N2" s="15" t="inlineStr">
        <is>
          <t>7XK2P93</t>
        </is>
      </c>
      <c r="O2" s="15" t="inlineStr">
        <is>
          <t>ABC Computers Ltd</t>
        </is>
      </c>
      <c r="P2" s="15" t="inlineStr">
        <is>
          <t>INV-2026-0142</t>
        </is>
      </c>
      <c r="Q2" s="16" t="n">
        <v>46037</v>
      </c>
      <c r="R2" s="16" t="n">
        <v>46042</v>
      </c>
      <c r="S2" s="17" t="n">
        <v>1250</v>
      </c>
      <c r="T2" s="15" t="inlineStr">
        <is>
          <t>USD</t>
        </is>
      </c>
      <c r="U2" s="17" t="n">
        <v>100</v>
      </c>
      <c r="V2" s="18" t="n">
        <v>48</v>
      </c>
      <c r="W2" s="15" t="inlineStr">
        <is>
          <t>Straight-line</t>
        </is>
      </c>
      <c r="X2" s="17">
        <f>IF(OR($S2="",$R2=""),"",ROUND(MAX(0,IF($W2="Straight-line",IF(N($V2)&lt;=0,0,($S2-N($U2))*MIN($AJ2,$V2)/$V2),IF($W2="Reducing balance",MIN(($S2-N($U2)),$S2-$S2*(1-N($AG2))^INT($AJ2/12)*(1-N($AG2)*MOD($AJ2,12)/12)),IF($W2="DDB",IF(N($V2)&lt;=0,0,MIN(($S2-N($U2)),$S2-$S2*(1-MIN(1,24/$V2))^INT($AJ2/12)*(1-MIN(1,24/$V2)*MOD($AJ2,12)/12))),IF($W2="SYD",IF(N($V2)&lt;=0,0,($S2-N($U2))*(INT(MIN($AJ2,$V2)/12)*(2*($V2/12)-INT(MIN($AJ2,$V2)/12)+1)/2+MOD(MIN($AJ2,$V2),12)/12*(($V2/12)-INT(MIN($AJ2,$V2)/12)))/(($V2/12)*(($V2/12)+1)/2)),0))))),2))</f>
        <v/>
      </c>
      <c r="Y2" s="17">
        <f>IF($X2="","",$S2-$X2)</f>
        <v/>
      </c>
      <c r="Z2" s="15" t="inlineStr">
        <is>
          <t>Good</t>
        </is>
      </c>
      <c r="AA2" s="15" t="inlineStr">
        <is>
          <t>In use</t>
        </is>
      </c>
      <c r="AB2" s="15" t="inlineStr">
        <is>
          <t>QR</t>
        </is>
      </c>
      <c r="AC2" s="15" t="inlineStr">
        <is>
          <t>AST-000123</t>
        </is>
      </c>
      <c r="AD2" s="16" t="n">
        <v>47133</v>
      </c>
      <c r="AE2" s="15" t="n"/>
      <c r="AF2" s="15" t="inlineStr">
        <is>
          <t>Example row — delete before use</t>
        </is>
      </c>
      <c r="AG2" s="19" t="n"/>
      <c r="AH2" s="16" t="n"/>
      <c r="AI2" s="17" t="n"/>
      <c r="AJ2" s="18">
        <f>IF($R2="","",IF($R2&gt;IF($AH2&lt;&gt;"",MIN($AH2,Settings!$B$3),Settings!$B$3),0,(YEAR(IF($AH2&lt;&gt;"",MIN($AH2,Settings!$B$3),Settings!$B$3))-YEAR($R2))*12+MONTH(IF($AH2&lt;&gt;"",MIN($AH2,Settings!$B$3),Settings!$B$3))-MONTH($R2)+1))</f>
        <v/>
      </c>
      <c r="AK2" s="18">
        <f>IF($R2="","",IF($R2&gt;MIN(Settings!$B$4-1,IF($AH2&lt;&gt;"",MIN($AH2,Settings!$B$3),Settings!$B$3)),0,(YEAR(MIN(Settings!$B$4-1,IF($AH2&lt;&gt;"",MIN($AH2,Settings!$B$3),Settings!$B$3)))-YEAR($R2))*12+MONTH(MIN(Settings!$B$4-1,IF($AH2&lt;&gt;"",MIN($AH2,Settings!$B$3),Settings!$B$3)))-MONTH($R2)+1))</f>
        <v/>
      </c>
      <c r="AL2" s="17">
        <f>IF(OR($S2="",$R2=""),"",ROUND(MAX(0,IF($W2="Straight-line",IF(N($V2)&lt;=0,0,($S2-N($U2))*MIN($AK2,$V2)/$V2),IF($W2="Reducing balance",MIN(($S2-N($U2)),$S2-$S2*(1-N($AG2))^INT($AK2/12)*(1-N($AG2)*MOD($AK2,12)/12)),IF($W2="DDB",IF(N($V2)&lt;=0,0,MIN(($S2-N($U2)),$S2-$S2*(1-MIN(1,24/$V2))^INT($AK2/12)*(1-MIN(1,24/$V2)*MOD($AK2,12)/12))),IF($W2="SYD",IF(N($V2)&lt;=0,0,($S2-N($U2))*(INT(MIN($AK2,$V2)/12)*(2*($V2/12)-INT(MIN($AK2,$V2)/12)+1)/2+MOD(MIN($AK2,$V2),12)/12*(($V2/12)-INT(MIN($AK2,$V2)/12)))/(($V2/12)*(($V2/12)+1)/2)),0))))),2))</f>
        <v/>
      </c>
      <c r="AM2" s="17">
        <f>IF($X2="","",$X2-$AL2)</f>
        <v/>
      </c>
      <c r="AN2" s="17">
        <f>IF(OR($AH2="",$Y2=""),"",N($AI2)-$Y2)</f>
        <v/>
      </c>
    </row>
    <row r="3">
      <c r="A3" s="15" t="inlineStr">
        <is>
          <t>AST-000124</t>
        </is>
      </c>
      <c r="B3" s="15" t="inlineStr">
        <is>
          <t>Toyota Hilux double cab</t>
        </is>
      </c>
      <c r="C3" s="15" t="inlineStr">
        <is>
          <t>Pool vehicle</t>
        </is>
      </c>
      <c r="D3" s="15" t="inlineStr">
        <is>
          <t>Vehicles</t>
        </is>
      </c>
      <c r="E3" s="15" t="inlineStr">
        <is>
          <t>Pickups</t>
        </is>
      </c>
      <c r="F3" s="15" t="inlineStr">
        <is>
          <t>Head Office</t>
        </is>
      </c>
      <c r="G3" s="15" t="inlineStr">
        <is>
          <t>Yard</t>
        </is>
      </c>
      <c r="H3" s="15" t="n"/>
      <c r="I3" s="15" t="inlineStr">
        <is>
          <t>Vehicle bay 3</t>
        </is>
      </c>
      <c r="J3" s="15" t="inlineStr">
        <is>
          <t>Operations</t>
        </is>
      </c>
      <c r="K3" s="15" t="inlineStr">
        <is>
          <t>Joseph Mwita</t>
        </is>
      </c>
      <c r="L3" s="15" t="inlineStr">
        <is>
          <t>Toyota</t>
        </is>
      </c>
      <c r="M3" s="15" t="inlineStr">
        <is>
          <t>Hilux 2.4 GD-6</t>
        </is>
      </c>
      <c r="N3" s="15" t="inlineStr">
        <is>
          <t>AHTKB3CD602345678</t>
        </is>
      </c>
      <c r="O3" s="15" t="inlineStr">
        <is>
          <t>City Motors</t>
        </is>
      </c>
      <c r="P3" s="15" t="inlineStr">
        <is>
          <t>PO-2025-0877</t>
        </is>
      </c>
      <c r="Q3" s="16" t="n">
        <v>45839</v>
      </c>
      <c r="R3" s="16" t="n">
        <v>45848</v>
      </c>
      <c r="S3" s="17" t="n">
        <v>38500</v>
      </c>
      <c r="T3" s="15" t="inlineStr">
        <is>
          <t>USD</t>
        </is>
      </c>
      <c r="U3" s="17" t="n">
        <v>8000</v>
      </c>
      <c r="V3" s="18" t="n">
        <v>96</v>
      </c>
      <c r="W3" s="15" t="inlineStr">
        <is>
          <t>Reducing balance</t>
        </is>
      </c>
      <c r="X3" s="17">
        <f>IF(OR($S3="",$R3=""),"",ROUND(MAX(0,IF($W3="Straight-line",IF(N($V3)&lt;=0,0,($S3-N($U3))*MIN($AJ3,$V3)/$V3),IF($W3="Reducing balance",MIN(($S3-N($U3)),$S3-$S3*(1-N($AG3))^INT($AJ3/12)*(1-N($AG3)*MOD($AJ3,12)/12)),IF($W3="DDB",IF(N($V3)&lt;=0,0,MIN(($S3-N($U3)),$S3-$S3*(1-MIN(1,24/$V3))^INT($AJ3/12)*(1-MIN(1,24/$V3)*MOD($AJ3,12)/12))),IF($W3="SYD",IF(N($V3)&lt;=0,0,($S3-N($U3))*(INT(MIN($AJ3,$V3)/12)*(2*($V3/12)-INT(MIN($AJ3,$V3)/12)+1)/2+MOD(MIN($AJ3,$V3),12)/12*(($V3/12)-INT(MIN($AJ3,$V3)/12)))/(($V3/12)*(($V3/12)+1)/2)),0))))),2))</f>
        <v/>
      </c>
      <c r="Y3" s="17">
        <f>IF($X3="","",$S3-$X3)</f>
        <v/>
      </c>
      <c r="Z3" s="15" t="inlineStr">
        <is>
          <t>Good</t>
        </is>
      </c>
      <c r="AA3" s="15" t="inlineStr">
        <is>
          <t>In use</t>
        </is>
      </c>
      <c r="AB3" s="15" t="inlineStr">
        <is>
          <t>UHF RFID</t>
        </is>
      </c>
      <c r="AC3" s="15" t="inlineStr">
        <is>
          <t>E28011700000020A1B2C3D4E</t>
        </is>
      </c>
      <c r="AD3" s="16" t="n">
        <v>46935</v>
      </c>
      <c r="AE3" s="15" t="inlineStr">
        <is>
          <t>POL-VEH-2291</t>
        </is>
      </c>
      <c r="AF3" s="15" t="inlineStr">
        <is>
          <t>Example row — delete before use</t>
        </is>
      </c>
      <c r="AG3" s="19" t="n">
        <v>0.25</v>
      </c>
      <c r="AH3" s="16" t="n"/>
      <c r="AI3" s="17" t="n"/>
      <c r="AJ3" s="18">
        <f>IF($R3="","",IF($R3&gt;IF($AH3&lt;&gt;"",MIN($AH3,Settings!$B$3),Settings!$B$3),0,(YEAR(IF($AH3&lt;&gt;"",MIN($AH3,Settings!$B$3),Settings!$B$3))-YEAR($R3))*12+MONTH(IF($AH3&lt;&gt;"",MIN($AH3,Settings!$B$3),Settings!$B$3))-MONTH($R3)+1))</f>
        <v/>
      </c>
      <c r="AK3" s="18">
        <f>IF($R3="","",IF($R3&gt;MIN(Settings!$B$4-1,IF($AH3&lt;&gt;"",MIN($AH3,Settings!$B$3),Settings!$B$3)),0,(YEAR(MIN(Settings!$B$4-1,IF($AH3&lt;&gt;"",MIN($AH3,Settings!$B$3),Settings!$B$3)))-YEAR($R3))*12+MONTH(MIN(Settings!$B$4-1,IF($AH3&lt;&gt;"",MIN($AH3,Settings!$B$3),Settings!$B$3)))-MONTH($R3)+1))</f>
        <v/>
      </c>
      <c r="AL3" s="17">
        <f>IF(OR($S3="",$R3=""),"",ROUND(MAX(0,IF($W3="Straight-line",IF(N($V3)&lt;=0,0,($S3-N($U3))*MIN($AK3,$V3)/$V3),IF($W3="Reducing balance",MIN(($S3-N($U3)),$S3-$S3*(1-N($AG3))^INT($AK3/12)*(1-N($AG3)*MOD($AK3,12)/12)),IF($W3="DDB",IF(N($V3)&lt;=0,0,MIN(($S3-N($U3)),$S3-$S3*(1-MIN(1,24/$V3))^INT($AK3/12)*(1-MIN(1,24/$V3)*MOD($AK3,12)/12))),IF($W3="SYD",IF(N($V3)&lt;=0,0,($S3-N($U3))*(INT(MIN($AK3,$V3)/12)*(2*($V3/12)-INT(MIN($AK3,$V3)/12)+1)/2+MOD(MIN($AK3,$V3),12)/12*(($V3/12)-INT(MIN($AK3,$V3)/12)))/(($V3/12)*(($V3/12)+1)/2)),0))))),2))</f>
        <v/>
      </c>
      <c r="AM3" s="17">
        <f>IF($X3="","",$X3-$AL3)</f>
        <v/>
      </c>
      <c r="AN3" s="17">
        <f>IF(OR($AH3="",$Y3=""),"",N($AI3)-$Y3)</f>
        <v/>
      </c>
    </row>
    <row r="4">
      <c r="A4" s="15" t="inlineStr">
        <is>
          <t>AST-000125</t>
        </is>
      </c>
      <c r="B4" s="15" t="inlineStr">
        <is>
          <t>Forklift 2.5 t (diesel)</t>
        </is>
      </c>
      <c r="C4" s="15" t="inlineStr">
        <is>
          <t>Warehouse forklift</t>
        </is>
      </c>
      <c r="D4" s="15" t="inlineStr">
        <is>
          <t>Plant &amp; machinery</t>
        </is>
      </c>
      <c r="E4" s="15" t="inlineStr">
        <is>
          <t>Forklifts</t>
        </is>
      </c>
      <c r="F4" s="15" t="inlineStr">
        <is>
          <t>Warehouse</t>
        </is>
      </c>
      <c r="G4" s="15" t="inlineStr">
        <is>
          <t>Main shed</t>
        </is>
      </c>
      <c r="H4" s="15" t="n"/>
      <c r="I4" s="15" t="inlineStr">
        <is>
          <t>Loading bay</t>
        </is>
      </c>
      <c r="J4" s="15" t="inlineStr">
        <is>
          <t>Logistics</t>
        </is>
      </c>
      <c r="K4" s="15" t="inlineStr">
        <is>
          <t>Peter Otieno</t>
        </is>
      </c>
      <c r="L4" s="15" t="inlineStr">
        <is>
          <t>Toyota</t>
        </is>
      </c>
      <c r="M4" s="15" t="inlineStr">
        <is>
          <t>8FD25</t>
        </is>
      </c>
      <c r="N4" s="15" t="inlineStr">
        <is>
          <t>8FD25-60218</t>
        </is>
      </c>
      <c r="O4" s="15" t="inlineStr">
        <is>
          <t>Lift Equipment Co</t>
        </is>
      </c>
      <c r="P4" s="15" t="inlineStr">
        <is>
          <t>PO-2023-0311</t>
        </is>
      </c>
      <c r="Q4" s="16" t="n">
        <v>45197</v>
      </c>
      <c r="R4" s="16" t="n">
        <v>45200</v>
      </c>
      <c r="S4" s="17" t="n">
        <v>24000</v>
      </c>
      <c r="T4" s="15" t="inlineStr">
        <is>
          <t>USD</t>
        </is>
      </c>
      <c r="U4" s="17" t="n">
        <v>3000</v>
      </c>
      <c r="V4" s="18" t="n">
        <v>60</v>
      </c>
      <c r="W4" s="15" t="inlineStr">
        <is>
          <t>SYD</t>
        </is>
      </c>
      <c r="X4" s="17">
        <f>IF(OR($S4="",$R4=""),"",ROUND(MAX(0,IF($W4="Straight-line",IF(N($V4)&lt;=0,0,($S4-N($U4))*MIN($AJ4,$V4)/$V4),IF($W4="Reducing balance",MIN(($S4-N($U4)),$S4-$S4*(1-N($AG4))^INT($AJ4/12)*(1-N($AG4)*MOD($AJ4,12)/12)),IF($W4="DDB",IF(N($V4)&lt;=0,0,MIN(($S4-N($U4)),$S4-$S4*(1-MIN(1,24/$V4))^INT($AJ4/12)*(1-MIN(1,24/$V4)*MOD($AJ4,12)/12))),IF($W4="SYD",IF(N($V4)&lt;=0,0,($S4-N($U4))*(INT(MIN($AJ4,$V4)/12)*(2*($V4/12)-INT(MIN($AJ4,$V4)/12)+1)/2+MOD(MIN($AJ4,$V4),12)/12*(($V4/12)-INT(MIN($AJ4,$V4)/12)))/(($V4/12)*(($V4/12)+1)/2)),0))))),2))</f>
        <v/>
      </c>
      <c r="Y4" s="17">
        <f>IF($X4="","",$S4-$X4)</f>
        <v/>
      </c>
      <c r="Z4" s="15" t="inlineStr">
        <is>
          <t>Fair</t>
        </is>
      </c>
      <c r="AA4" s="15" t="inlineStr">
        <is>
          <t>In use</t>
        </is>
      </c>
      <c r="AB4" s="15" t="inlineStr">
        <is>
          <t>Barcode</t>
        </is>
      </c>
      <c r="AC4" s="15" t="inlineStr">
        <is>
          <t>AST-000125</t>
        </is>
      </c>
      <c r="AD4" s="16" t="n"/>
      <c r="AE4" s="15" t="n"/>
      <c r="AF4" s="15" t="inlineStr">
        <is>
          <t>Example row — delete before use</t>
        </is>
      </c>
      <c r="AG4" s="19" t="n"/>
      <c r="AH4" s="16" t="n"/>
      <c r="AI4" s="17" t="n"/>
      <c r="AJ4" s="18">
        <f>IF($R4="","",IF($R4&gt;IF($AH4&lt;&gt;"",MIN($AH4,Settings!$B$3),Settings!$B$3),0,(YEAR(IF($AH4&lt;&gt;"",MIN($AH4,Settings!$B$3),Settings!$B$3))-YEAR($R4))*12+MONTH(IF($AH4&lt;&gt;"",MIN($AH4,Settings!$B$3),Settings!$B$3))-MONTH($R4)+1))</f>
        <v/>
      </c>
      <c r="AK4" s="18">
        <f>IF($R4="","",IF($R4&gt;MIN(Settings!$B$4-1,IF($AH4&lt;&gt;"",MIN($AH4,Settings!$B$3),Settings!$B$3)),0,(YEAR(MIN(Settings!$B$4-1,IF($AH4&lt;&gt;"",MIN($AH4,Settings!$B$3),Settings!$B$3)))-YEAR($R4))*12+MONTH(MIN(Settings!$B$4-1,IF($AH4&lt;&gt;"",MIN($AH4,Settings!$B$3),Settings!$B$3)))-MONTH($R4)+1))</f>
        <v/>
      </c>
      <c r="AL4" s="17">
        <f>IF(OR($S4="",$R4=""),"",ROUND(MAX(0,IF($W4="Straight-line",IF(N($V4)&lt;=0,0,($S4-N($U4))*MIN($AK4,$V4)/$V4),IF($W4="Reducing balance",MIN(($S4-N($U4)),$S4-$S4*(1-N($AG4))^INT($AK4/12)*(1-N($AG4)*MOD($AK4,12)/12)),IF($W4="DDB",IF(N($V4)&lt;=0,0,MIN(($S4-N($U4)),$S4-$S4*(1-MIN(1,24/$V4))^INT($AK4/12)*(1-MIN(1,24/$V4)*MOD($AK4,12)/12))),IF($W4="SYD",IF(N($V4)&lt;=0,0,($S4-N($U4))*(INT(MIN($AK4,$V4)/12)*(2*($V4/12)-INT(MIN($AK4,$V4)/12)+1)/2+MOD(MIN($AK4,$V4),12)/12*(($V4/12)-INT(MIN($AK4,$V4)/12)))/(($V4/12)*(($V4/12)+1)/2)),0))))),2))</f>
        <v/>
      </c>
      <c r="AM4" s="17">
        <f>IF($X4="","",$X4-$AL4)</f>
        <v/>
      </c>
      <c r="AN4" s="17">
        <f>IF(OR($AH4="",$Y4=""),"",N($AI4)-$Y4)</f>
        <v/>
      </c>
    </row>
    <row r="5">
      <c r="A5" s="15" t="inlineStr">
        <is>
          <t>AST-000126</t>
        </is>
      </c>
      <c r="B5" s="15" t="inlineStr">
        <is>
          <t>Office desks (set of 12)</t>
        </is>
      </c>
      <c r="C5" s="15" t="inlineStr">
        <is>
          <t>Open-plan desks, grouped asset</t>
        </is>
      </c>
      <c r="D5" s="15" t="inlineStr">
        <is>
          <t>Furniture &amp; fittings</t>
        </is>
      </c>
      <c r="E5" s="15" t="inlineStr">
        <is>
          <t>Desks</t>
        </is>
      </c>
      <c r="F5" s="15" t="inlineStr">
        <is>
          <t>Head Office</t>
        </is>
      </c>
      <c r="G5" s="15" t="inlineStr">
        <is>
          <t>Block A</t>
        </is>
      </c>
      <c r="H5" s="15" t="inlineStr">
        <is>
          <t>Floor 1</t>
        </is>
      </c>
      <c r="I5" s="15" t="inlineStr">
        <is>
          <t>Open office 1.10</t>
        </is>
      </c>
      <c r="J5" s="15" t="inlineStr">
        <is>
          <t>Administration</t>
        </is>
      </c>
      <c r="K5" s="15" t="inlineStr">
        <is>
          <t>Grace Njeri</t>
        </is>
      </c>
      <c r="L5" s="15" t="n"/>
      <c r="M5" s="15" t="n"/>
      <c r="N5" s="15" t="n"/>
      <c r="O5" s="15" t="inlineStr">
        <is>
          <t>Office Plus</t>
        </is>
      </c>
      <c r="P5" s="15" t="inlineStr">
        <is>
          <t>INV-2024-0051</t>
        </is>
      </c>
      <c r="Q5" s="16" t="n">
        <v>45352</v>
      </c>
      <c r="R5" s="16" t="n">
        <v>45352</v>
      </c>
      <c r="S5" s="17" t="n">
        <v>2400</v>
      </c>
      <c r="T5" s="15" t="inlineStr">
        <is>
          <t>USD</t>
        </is>
      </c>
      <c r="U5" s="17" t="n">
        <v>0</v>
      </c>
      <c r="V5" s="18" t="n">
        <v>120</v>
      </c>
      <c r="W5" s="15" t="inlineStr">
        <is>
          <t>Straight-line</t>
        </is>
      </c>
      <c r="X5" s="17">
        <f>IF(OR($S5="",$R5=""),"",ROUND(MAX(0,IF($W5="Straight-line",IF(N($V5)&lt;=0,0,($S5-N($U5))*MIN($AJ5,$V5)/$V5),IF($W5="Reducing balance",MIN(($S5-N($U5)),$S5-$S5*(1-N($AG5))^INT($AJ5/12)*(1-N($AG5)*MOD($AJ5,12)/12)),IF($W5="DDB",IF(N($V5)&lt;=0,0,MIN(($S5-N($U5)),$S5-$S5*(1-MIN(1,24/$V5))^INT($AJ5/12)*(1-MIN(1,24/$V5)*MOD($AJ5,12)/12))),IF($W5="SYD",IF(N($V5)&lt;=0,0,($S5-N($U5))*(INT(MIN($AJ5,$V5)/12)*(2*($V5/12)-INT(MIN($AJ5,$V5)/12)+1)/2+MOD(MIN($AJ5,$V5),12)/12*(($V5/12)-INT(MIN($AJ5,$V5)/12)))/(($V5/12)*(($V5/12)+1)/2)),0))))),2))</f>
        <v/>
      </c>
      <c r="Y5" s="17">
        <f>IF($X5="","",$S5-$X5)</f>
        <v/>
      </c>
      <c r="Z5" s="15" t="inlineStr">
        <is>
          <t>Good</t>
        </is>
      </c>
      <c r="AA5" s="15" t="inlineStr">
        <is>
          <t>In use</t>
        </is>
      </c>
      <c r="AB5" s="15" t="inlineStr">
        <is>
          <t>QR</t>
        </is>
      </c>
      <c r="AC5" s="15" t="inlineStr">
        <is>
          <t>AST-000126</t>
        </is>
      </c>
      <c r="AD5" s="16" t="n"/>
      <c r="AE5" s="15" t="n"/>
      <c r="AF5" s="15" t="inlineStr">
        <is>
          <t>Example row — delete before use</t>
        </is>
      </c>
      <c r="AG5" s="19" t="n"/>
      <c r="AH5" s="16" t="n"/>
      <c r="AI5" s="17" t="n"/>
      <c r="AJ5" s="18">
        <f>IF($R5="","",IF($R5&gt;IF($AH5&lt;&gt;"",MIN($AH5,Settings!$B$3),Settings!$B$3),0,(YEAR(IF($AH5&lt;&gt;"",MIN($AH5,Settings!$B$3),Settings!$B$3))-YEAR($R5))*12+MONTH(IF($AH5&lt;&gt;"",MIN($AH5,Settings!$B$3),Settings!$B$3))-MONTH($R5)+1))</f>
        <v/>
      </c>
      <c r="AK5" s="18">
        <f>IF($R5="","",IF($R5&gt;MIN(Settings!$B$4-1,IF($AH5&lt;&gt;"",MIN($AH5,Settings!$B$3),Settings!$B$3)),0,(YEAR(MIN(Settings!$B$4-1,IF($AH5&lt;&gt;"",MIN($AH5,Settings!$B$3),Settings!$B$3)))-YEAR($R5))*12+MONTH(MIN(Settings!$B$4-1,IF($AH5&lt;&gt;"",MIN($AH5,Settings!$B$3),Settings!$B$3)))-MONTH($R5)+1))</f>
        <v/>
      </c>
      <c r="AL5" s="17">
        <f>IF(OR($S5="",$R5=""),"",ROUND(MAX(0,IF($W5="Straight-line",IF(N($V5)&lt;=0,0,($S5-N($U5))*MIN($AK5,$V5)/$V5),IF($W5="Reducing balance",MIN(($S5-N($U5)),$S5-$S5*(1-N($AG5))^INT($AK5/12)*(1-N($AG5)*MOD($AK5,12)/12)),IF($W5="DDB",IF(N($V5)&lt;=0,0,MIN(($S5-N($U5)),$S5-$S5*(1-MIN(1,24/$V5))^INT($AK5/12)*(1-MIN(1,24/$V5)*MOD($AK5,12)/12))),IF($W5="SYD",IF(N($V5)&lt;=0,0,($S5-N($U5))*(INT(MIN($AK5,$V5)/12)*(2*($V5/12)-INT(MIN($AK5,$V5)/12)+1)/2+MOD(MIN($AK5,$V5),12)/12*(($V5/12)-INT(MIN($AK5,$V5)/12)))/(($V5/12)*(($V5/12)+1)/2)),0))))),2))</f>
        <v/>
      </c>
      <c r="AM5" s="17">
        <f>IF($X5="","",$X5-$AL5)</f>
        <v/>
      </c>
      <c r="AN5" s="17">
        <f>IF(OR($AH5="",$Y5=""),"",N($AI5)-$Y5)</f>
        <v/>
      </c>
    </row>
    <row r="6">
      <c r="A6" s="15" t="inlineStr">
        <is>
          <t>AST-000127</t>
        </is>
      </c>
      <c r="B6" s="15" t="inlineStr">
        <is>
          <t>HP LaserJet Pro printer</t>
        </is>
      </c>
      <c r="C6" s="15" t="inlineStr">
        <is>
          <t>Sold to staff member</t>
        </is>
      </c>
      <c r="D6" s="15" t="inlineStr">
        <is>
          <t>IT equipment</t>
        </is>
      </c>
      <c r="E6" s="15" t="inlineStr">
        <is>
          <t>Printers</t>
        </is>
      </c>
      <c r="F6" s="15" t="inlineStr">
        <is>
          <t>Head Office</t>
        </is>
      </c>
      <c r="G6" s="15" t="inlineStr">
        <is>
          <t>Block A</t>
        </is>
      </c>
      <c r="H6" s="15" t="inlineStr">
        <is>
          <t>Floor 2</t>
        </is>
      </c>
      <c r="I6" s="15" t="inlineStr">
        <is>
          <t>Print room</t>
        </is>
      </c>
      <c r="J6" s="15" t="inlineStr">
        <is>
          <t>Administration</t>
        </is>
      </c>
      <c r="K6" s="15" t="n"/>
      <c r="L6" s="15" t="inlineStr">
        <is>
          <t>HP</t>
        </is>
      </c>
      <c r="M6" s="15" t="inlineStr">
        <is>
          <t>LaserJet Pro M404</t>
        </is>
      </c>
      <c r="N6" s="15" t="inlineStr">
        <is>
          <t>PHBQ812345</t>
        </is>
      </c>
      <c r="O6" s="15" t="inlineStr">
        <is>
          <t>ABC Computers Ltd</t>
        </is>
      </c>
      <c r="P6" s="15" t="inlineStr">
        <is>
          <t>INV-2022-0019</t>
        </is>
      </c>
      <c r="Q6" s="16" t="n">
        <v>44593</v>
      </c>
      <c r="R6" s="16" t="n">
        <v>44593</v>
      </c>
      <c r="S6" s="17" t="n">
        <v>800</v>
      </c>
      <c r="T6" s="15" t="inlineStr">
        <is>
          <t>USD</t>
        </is>
      </c>
      <c r="U6" s="17" t="n">
        <v>0</v>
      </c>
      <c r="V6" s="18" t="n">
        <v>60</v>
      </c>
      <c r="W6" s="15" t="inlineStr">
        <is>
          <t>Straight-line</t>
        </is>
      </c>
      <c r="X6" s="17">
        <f>IF(OR($S6="",$R6=""),"",ROUND(MAX(0,IF($W6="Straight-line",IF(N($V6)&lt;=0,0,($S6-N($U6))*MIN($AJ6,$V6)/$V6),IF($W6="Reducing balance",MIN(($S6-N($U6)),$S6-$S6*(1-N($AG6))^INT($AJ6/12)*(1-N($AG6)*MOD($AJ6,12)/12)),IF($W6="DDB",IF(N($V6)&lt;=0,0,MIN(($S6-N($U6)),$S6-$S6*(1-MIN(1,24/$V6))^INT($AJ6/12)*(1-MIN(1,24/$V6)*MOD($AJ6,12)/12))),IF($W6="SYD",IF(N($V6)&lt;=0,0,($S6-N($U6))*(INT(MIN($AJ6,$V6)/12)*(2*($V6/12)-INT(MIN($AJ6,$V6)/12)+1)/2+MOD(MIN($AJ6,$V6),12)/12*(($V6/12)-INT(MIN($AJ6,$V6)/12)))/(($V6/12)*(($V6/12)+1)/2)),0))))),2))</f>
        <v/>
      </c>
      <c r="Y6" s="17">
        <f>IF($X6="","",$S6-$X6)</f>
        <v/>
      </c>
      <c r="Z6" s="15" t="inlineStr">
        <is>
          <t>Fair</t>
        </is>
      </c>
      <c r="AA6" s="15" t="inlineStr">
        <is>
          <t>Disposed</t>
        </is>
      </c>
      <c r="AB6" s="15" t="inlineStr">
        <is>
          <t>QR</t>
        </is>
      </c>
      <c r="AC6" s="15" t="inlineStr">
        <is>
          <t>AST-000127</t>
        </is>
      </c>
      <c r="AD6" s="16" t="n"/>
      <c r="AE6" s="15" t="n"/>
      <c r="AF6" s="15" t="inlineStr">
        <is>
          <t>Example row — delete before use</t>
        </is>
      </c>
      <c r="AG6" s="19" t="n"/>
      <c r="AH6" s="16" t="n">
        <v>46188</v>
      </c>
      <c r="AI6" s="17" t="n">
        <v>50</v>
      </c>
      <c r="AJ6" s="18">
        <f>IF($R6="","",IF($R6&gt;IF($AH6&lt;&gt;"",MIN($AH6,Settings!$B$3),Settings!$B$3),0,(YEAR(IF($AH6&lt;&gt;"",MIN($AH6,Settings!$B$3),Settings!$B$3))-YEAR($R6))*12+MONTH(IF($AH6&lt;&gt;"",MIN($AH6,Settings!$B$3),Settings!$B$3))-MONTH($R6)+1))</f>
        <v/>
      </c>
      <c r="AK6" s="18">
        <f>IF($R6="","",IF($R6&gt;MIN(Settings!$B$4-1,IF($AH6&lt;&gt;"",MIN($AH6,Settings!$B$3),Settings!$B$3)),0,(YEAR(MIN(Settings!$B$4-1,IF($AH6&lt;&gt;"",MIN($AH6,Settings!$B$3),Settings!$B$3)))-YEAR($R6))*12+MONTH(MIN(Settings!$B$4-1,IF($AH6&lt;&gt;"",MIN($AH6,Settings!$B$3),Settings!$B$3)))-MONTH($R6)+1))</f>
        <v/>
      </c>
      <c r="AL6" s="17">
        <f>IF(OR($S6="",$R6=""),"",ROUND(MAX(0,IF($W6="Straight-line",IF(N($V6)&lt;=0,0,($S6-N($U6))*MIN($AK6,$V6)/$V6),IF($W6="Reducing balance",MIN(($S6-N($U6)),$S6-$S6*(1-N($AG6))^INT($AK6/12)*(1-N($AG6)*MOD($AK6,12)/12)),IF($W6="DDB",IF(N($V6)&lt;=0,0,MIN(($S6-N($U6)),$S6-$S6*(1-MIN(1,24/$V6))^INT($AK6/12)*(1-MIN(1,24/$V6)*MOD($AK6,12)/12))),IF($W6="SYD",IF(N($V6)&lt;=0,0,($S6-N($U6))*(INT(MIN($AK6,$V6)/12)*(2*($V6/12)-INT(MIN($AK6,$V6)/12)+1)/2+MOD(MIN($AK6,$V6),12)/12*(($V6/12)-INT(MIN($AK6,$V6)/12)))/(($V6/12)*(($V6/12)+1)/2)),0))))),2))</f>
        <v/>
      </c>
      <c r="AM6" s="17">
        <f>IF($X6="","",$X6-$AL6)</f>
        <v/>
      </c>
      <c r="AN6" s="17">
        <f>IF(OR($AH6="",$Y6=""),"",N($AI6)-$Y6)</f>
        <v/>
      </c>
    </row>
    <row r="7">
      <c r="Q7" s="20" t="n"/>
      <c r="R7" s="20" t="n"/>
      <c r="S7" s="21" t="n"/>
      <c r="U7" s="21" t="n"/>
      <c r="V7" s="22" t="n"/>
      <c r="X7" s="23">
        <f>IF(OR($S7="",$R7=""),"",ROUND(MAX(0,IF($W7="Straight-line",IF(N($V7)&lt;=0,0,($S7-N($U7))*MIN($AJ7,$V7)/$V7),IF($W7="Reducing balance",MIN(($S7-N($U7)),$S7-$S7*(1-N($AG7))^INT($AJ7/12)*(1-N($AG7)*MOD($AJ7,12)/12)),IF($W7="DDB",IF(N($V7)&lt;=0,0,MIN(($S7-N($U7)),$S7-$S7*(1-MIN(1,24/$V7))^INT($AJ7/12)*(1-MIN(1,24/$V7)*MOD($AJ7,12)/12))),IF($W7="SYD",IF(N($V7)&lt;=0,0,($S7-N($U7))*(INT(MIN($AJ7,$V7)/12)*(2*($V7/12)-INT(MIN($AJ7,$V7)/12)+1)/2+MOD(MIN($AJ7,$V7),12)/12*(($V7/12)-INT(MIN($AJ7,$V7)/12)))/(($V7/12)*(($V7/12)+1)/2)),0))))),2))</f>
        <v/>
      </c>
      <c r="Y7" s="23">
        <f>IF($X7="","",$S7-$X7)</f>
        <v/>
      </c>
      <c r="AD7" s="20" t="n"/>
      <c r="AG7" s="24" t="n"/>
      <c r="AH7" s="20" t="n"/>
      <c r="AI7" s="21" t="n"/>
      <c r="AJ7" s="25">
        <f>IF($R7="","",IF($R7&gt;IF($AH7&lt;&gt;"",MIN($AH7,Settings!$B$3),Settings!$B$3),0,(YEAR(IF($AH7&lt;&gt;"",MIN($AH7,Settings!$B$3),Settings!$B$3))-YEAR($R7))*12+MONTH(IF($AH7&lt;&gt;"",MIN($AH7,Settings!$B$3),Settings!$B$3))-MONTH($R7)+1))</f>
        <v/>
      </c>
      <c r="AK7" s="25">
        <f>IF($R7="","",IF($R7&gt;MIN(Settings!$B$4-1,IF($AH7&lt;&gt;"",MIN($AH7,Settings!$B$3),Settings!$B$3)),0,(YEAR(MIN(Settings!$B$4-1,IF($AH7&lt;&gt;"",MIN($AH7,Settings!$B$3),Settings!$B$3)))-YEAR($R7))*12+MONTH(MIN(Settings!$B$4-1,IF($AH7&lt;&gt;"",MIN($AH7,Settings!$B$3),Settings!$B$3)))-MONTH($R7)+1))</f>
        <v/>
      </c>
      <c r="AL7" s="23">
        <f>IF(OR($S7="",$R7=""),"",ROUND(MAX(0,IF($W7="Straight-line",IF(N($V7)&lt;=0,0,($S7-N($U7))*MIN($AK7,$V7)/$V7),IF($W7="Reducing balance",MIN(($S7-N($U7)),$S7-$S7*(1-N($AG7))^INT($AK7/12)*(1-N($AG7)*MOD($AK7,12)/12)),IF($W7="DDB",IF(N($V7)&lt;=0,0,MIN(($S7-N($U7)),$S7-$S7*(1-MIN(1,24/$V7))^INT($AK7/12)*(1-MIN(1,24/$V7)*MOD($AK7,12)/12))),IF($W7="SYD",IF(N($V7)&lt;=0,0,($S7-N($U7))*(INT(MIN($AK7,$V7)/12)*(2*($V7/12)-INT(MIN($AK7,$V7)/12)+1)/2+MOD(MIN($AK7,$V7),12)/12*(($V7/12)-INT(MIN($AK7,$V7)/12)))/(($V7/12)*(($V7/12)+1)/2)),0))))),2))</f>
        <v/>
      </c>
      <c r="AM7" s="23">
        <f>IF($X7="","",$X7-$AL7)</f>
        <v/>
      </c>
      <c r="AN7" s="23">
        <f>IF(OR($AH7="",$Y7=""),"",N($AI7)-$Y7)</f>
        <v/>
      </c>
    </row>
    <row r="8">
      <c r="Q8" s="20" t="n"/>
      <c r="R8" s="20" t="n"/>
      <c r="S8" s="21" t="n"/>
      <c r="U8" s="21" t="n"/>
      <c r="V8" s="22" t="n"/>
      <c r="X8" s="23">
        <f>IF(OR($S8="",$R8=""),"",ROUND(MAX(0,IF($W8="Straight-line",IF(N($V8)&lt;=0,0,($S8-N($U8))*MIN($AJ8,$V8)/$V8),IF($W8="Reducing balance",MIN(($S8-N($U8)),$S8-$S8*(1-N($AG8))^INT($AJ8/12)*(1-N($AG8)*MOD($AJ8,12)/12)),IF($W8="DDB",IF(N($V8)&lt;=0,0,MIN(($S8-N($U8)),$S8-$S8*(1-MIN(1,24/$V8))^INT($AJ8/12)*(1-MIN(1,24/$V8)*MOD($AJ8,12)/12))),IF($W8="SYD",IF(N($V8)&lt;=0,0,($S8-N($U8))*(INT(MIN($AJ8,$V8)/12)*(2*($V8/12)-INT(MIN($AJ8,$V8)/12)+1)/2+MOD(MIN($AJ8,$V8),12)/12*(($V8/12)-INT(MIN($AJ8,$V8)/12)))/(($V8/12)*(($V8/12)+1)/2)),0))))),2))</f>
        <v/>
      </c>
      <c r="Y8" s="23">
        <f>IF($X8="","",$S8-$X8)</f>
        <v/>
      </c>
      <c r="AD8" s="20" t="n"/>
      <c r="AG8" s="24" t="n"/>
      <c r="AH8" s="20" t="n"/>
      <c r="AI8" s="21" t="n"/>
      <c r="AJ8" s="25">
        <f>IF($R8="","",IF($R8&gt;IF($AH8&lt;&gt;"",MIN($AH8,Settings!$B$3),Settings!$B$3),0,(YEAR(IF($AH8&lt;&gt;"",MIN($AH8,Settings!$B$3),Settings!$B$3))-YEAR($R8))*12+MONTH(IF($AH8&lt;&gt;"",MIN($AH8,Settings!$B$3),Settings!$B$3))-MONTH($R8)+1))</f>
        <v/>
      </c>
      <c r="AK8" s="25">
        <f>IF($R8="","",IF($R8&gt;MIN(Settings!$B$4-1,IF($AH8&lt;&gt;"",MIN($AH8,Settings!$B$3),Settings!$B$3)),0,(YEAR(MIN(Settings!$B$4-1,IF($AH8&lt;&gt;"",MIN($AH8,Settings!$B$3),Settings!$B$3)))-YEAR($R8))*12+MONTH(MIN(Settings!$B$4-1,IF($AH8&lt;&gt;"",MIN($AH8,Settings!$B$3),Settings!$B$3)))-MONTH($R8)+1))</f>
        <v/>
      </c>
      <c r="AL8" s="23">
        <f>IF(OR($S8="",$R8=""),"",ROUND(MAX(0,IF($W8="Straight-line",IF(N($V8)&lt;=0,0,($S8-N($U8))*MIN($AK8,$V8)/$V8),IF($W8="Reducing balance",MIN(($S8-N($U8)),$S8-$S8*(1-N($AG8))^INT($AK8/12)*(1-N($AG8)*MOD($AK8,12)/12)),IF($W8="DDB",IF(N($V8)&lt;=0,0,MIN(($S8-N($U8)),$S8-$S8*(1-MIN(1,24/$V8))^INT($AK8/12)*(1-MIN(1,24/$V8)*MOD($AK8,12)/12))),IF($W8="SYD",IF(N($V8)&lt;=0,0,($S8-N($U8))*(INT(MIN($AK8,$V8)/12)*(2*($V8/12)-INT(MIN($AK8,$V8)/12)+1)/2+MOD(MIN($AK8,$V8),12)/12*(($V8/12)-INT(MIN($AK8,$V8)/12)))/(($V8/12)*(($V8/12)+1)/2)),0))))),2))</f>
        <v/>
      </c>
      <c r="AM8" s="23">
        <f>IF($X8="","",$X8-$AL8)</f>
        <v/>
      </c>
      <c r="AN8" s="23">
        <f>IF(OR($AH8="",$Y8=""),"",N($AI8)-$Y8)</f>
        <v/>
      </c>
    </row>
    <row r="9">
      <c r="Q9" s="20" t="n"/>
      <c r="R9" s="20" t="n"/>
      <c r="S9" s="21" t="n"/>
      <c r="U9" s="21" t="n"/>
      <c r="V9" s="22" t="n"/>
      <c r="X9" s="23">
        <f>IF(OR($S9="",$R9=""),"",ROUND(MAX(0,IF($W9="Straight-line",IF(N($V9)&lt;=0,0,($S9-N($U9))*MIN($AJ9,$V9)/$V9),IF($W9="Reducing balance",MIN(($S9-N($U9)),$S9-$S9*(1-N($AG9))^INT($AJ9/12)*(1-N($AG9)*MOD($AJ9,12)/12)),IF($W9="DDB",IF(N($V9)&lt;=0,0,MIN(($S9-N($U9)),$S9-$S9*(1-MIN(1,24/$V9))^INT($AJ9/12)*(1-MIN(1,24/$V9)*MOD($AJ9,12)/12))),IF($W9="SYD",IF(N($V9)&lt;=0,0,($S9-N($U9))*(INT(MIN($AJ9,$V9)/12)*(2*($V9/12)-INT(MIN($AJ9,$V9)/12)+1)/2+MOD(MIN($AJ9,$V9),12)/12*(($V9/12)-INT(MIN($AJ9,$V9)/12)))/(($V9/12)*(($V9/12)+1)/2)),0))))),2))</f>
        <v/>
      </c>
      <c r="Y9" s="23">
        <f>IF($X9="","",$S9-$X9)</f>
        <v/>
      </c>
      <c r="AD9" s="20" t="n"/>
      <c r="AG9" s="24" t="n"/>
      <c r="AH9" s="20" t="n"/>
      <c r="AI9" s="21" t="n"/>
      <c r="AJ9" s="25">
        <f>IF($R9="","",IF($R9&gt;IF($AH9&lt;&gt;"",MIN($AH9,Settings!$B$3),Settings!$B$3),0,(YEAR(IF($AH9&lt;&gt;"",MIN($AH9,Settings!$B$3),Settings!$B$3))-YEAR($R9))*12+MONTH(IF($AH9&lt;&gt;"",MIN($AH9,Settings!$B$3),Settings!$B$3))-MONTH($R9)+1))</f>
        <v/>
      </c>
      <c r="AK9" s="25">
        <f>IF($R9="","",IF($R9&gt;MIN(Settings!$B$4-1,IF($AH9&lt;&gt;"",MIN($AH9,Settings!$B$3),Settings!$B$3)),0,(YEAR(MIN(Settings!$B$4-1,IF($AH9&lt;&gt;"",MIN($AH9,Settings!$B$3),Settings!$B$3)))-YEAR($R9))*12+MONTH(MIN(Settings!$B$4-1,IF($AH9&lt;&gt;"",MIN($AH9,Settings!$B$3),Settings!$B$3)))-MONTH($R9)+1))</f>
        <v/>
      </c>
      <c r="AL9" s="23">
        <f>IF(OR($S9="",$R9=""),"",ROUND(MAX(0,IF($W9="Straight-line",IF(N($V9)&lt;=0,0,($S9-N($U9))*MIN($AK9,$V9)/$V9),IF($W9="Reducing balance",MIN(($S9-N($U9)),$S9-$S9*(1-N($AG9))^INT($AK9/12)*(1-N($AG9)*MOD($AK9,12)/12)),IF($W9="DDB",IF(N($V9)&lt;=0,0,MIN(($S9-N($U9)),$S9-$S9*(1-MIN(1,24/$V9))^INT($AK9/12)*(1-MIN(1,24/$V9)*MOD($AK9,12)/12))),IF($W9="SYD",IF(N($V9)&lt;=0,0,($S9-N($U9))*(INT(MIN($AK9,$V9)/12)*(2*($V9/12)-INT(MIN($AK9,$V9)/12)+1)/2+MOD(MIN($AK9,$V9),12)/12*(($V9/12)-INT(MIN($AK9,$V9)/12)))/(($V9/12)*(($V9/12)+1)/2)),0))))),2))</f>
        <v/>
      </c>
      <c r="AM9" s="23">
        <f>IF($X9="","",$X9-$AL9)</f>
        <v/>
      </c>
      <c r="AN9" s="23">
        <f>IF(OR($AH9="",$Y9=""),"",N($AI9)-$Y9)</f>
        <v/>
      </c>
    </row>
    <row r="10">
      <c r="Q10" s="20" t="n"/>
      <c r="R10" s="20" t="n"/>
      <c r="S10" s="21" t="n"/>
      <c r="U10" s="21" t="n"/>
      <c r="V10" s="22" t="n"/>
      <c r="X10" s="23">
        <f>IF(OR($S10="",$R10=""),"",ROUND(MAX(0,IF($W10="Straight-line",IF(N($V10)&lt;=0,0,($S10-N($U10))*MIN($AJ10,$V10)/$V10),IF($W10="Reducing balance",MIN(($S10-N($U10)),$S10-$S10*(1-N($AG10))^INT($AJ10/12)*(1-N($AG10)*MOD($AJ10,12)/12)),IF($W10="DDB",IF(N($V10)&lt;=0,0,MIN(($S10-N($U10)),$S10-$S10*(1-MIN(1,24/$V10))^INT($AJ10/12)*(1-MIN(1,24/$V10)*MOD($AJ10,12)/12))),IF($W10="SYD",IF(N($V10)&lt;=0,0,($S10-N($U10))*(INT(MIN($AJ10,$V10)/12)*(2*($V10/12)-INT(MIN($AJ10,$V10)/12)+1)/2+MOD(MIN($AJ10,$V10),12)/12*(($V10/12)-INT(MIN($AJ10,$V10)/12)))/(($V10/12)*(($V10/12)+1)/2)),0))))),2))</f>
        <v/>
      </c>
      <c r="Y10" s="23">
        <f>IF($X10="","",$S10-$X10)</f>
        <v/>
      </c>
      <c r="AD10" s="20" t="n"/>
      <c r="AG10" s="24" t="n"/>
      <c r="AH10" s="20" t="n"/>
      <c r="AI10" s="21" t="n"/>
      <c r="AJ10" s="25">
        <f>IF($R10="","",IF($R10&gt;IF($AH10&lt;&gt;"",MIN($AH10,Settings!$B$3),Settings!$B$3),0,(YEAR(IF($AH10&lt;&gt;"",MIN($AH10,Settings!$B$3),Settings!$B$3))-YEAR($R10))*12+MONTH(IF($AH10&lt;&gt;"",MIN($AH10,Settings!$B$3),Settings!$B$3))-MONTH($R10)+1))</f>
        <v/>
      </c>
      <c r="AK10" s="25">
        <f>IF($R10="","",IF($R10&gt;MIN(Settings!$B$4-1,IF($AH10&lt;&gt;"",MIN($AH10,Settings!$B$3),Settings!$B$3)),0,(YEAR(MIN(Settings!$B$4-1,IF($AH10&lt;&gt;"",MIN($AH10,Settings!$B$3),Settings!$B$3)))-YEAR($R10))*12+MONTH(MIN(Settings!$B$4-1,IF($AH10&lt;&gt;"",MIN($AH10,Settings!$B$3),Settings!$B$3)))-MONTH($R10)+1))</f>
        <v/>
      </c>
      <c r="AL10" s="23">
        <f>IF(OR($S10="",$R10=""),"",ROUND(MAX(0,IF($W10="Straight-line",IF(N($V10)&lt;=0,0,($S10-N($U10))*MIN($AK10,$V10)/$V10),IF($W10="Reducing balance",MIN(($S10-N($U10)),$S10-$S10*(1-N($AG10))^INT($AK10/12)*(1-N($AG10)*MOD($AK10,12)/12)),IF($W10="DDB",IF(N($V10)&lt;=0,0,MIN(($S10-N($U10)),$S10-$S10*(1-MIN(1,24/$V10))^INT($AK10/12)*(1-MIN(1,24/$V10)*MOD($AK10,12)/12))),IF($W10="SYD",IF(N($V10)&lt;=0,0,($S10-N($U10))*(INT(MIN($AK10,$V10)/12)*(2*($V10/12)-INT(MIN($AK10,$V10)/12)+1)/2+MOD(MIN($AK10,$V10),12)/12*(($V10/12)-INT(MIN($AK10,$V10)/12)))/(($V10/12)*(($V10/12)+1)/2)),0))))),2))</f>
        <v/>
      </c>
      <c r="AM10" s="23">
        <f>IF($X10="","",$X10-$AL10)</f>
        <v/>
      </c>
      <c r="AN10" s="23">
        <f>IF(OR($AH10="",$Y10=""),"",N($AI10)-$Y10)</f>
        <v/>
      </c>
    </row>
    <row r="11">
      <c r="Q11" s="20" t="n"/>
      <c r="R11" s="20" t="n"/>
      <c r="S11" s="21" t="n"/>
      <c r="U11" s="21" t="n"/>
      <c r="V11" s="22" t="n"/>
      <c r="X11" s="23">
        <f>IF(OR($S11="",$R11=""),"",ROUND(MAX(0,IF($W11="Straight-line",IF(N($V11)&lt;=0,0,($S11-N($U11))*MIN($AJ11,$V11)/$V11),IF($W11="Reducing balance",MIN(($S11-N($U11)),$S11-$S11*(1-N($AG11))^INT($AJ11/12)*(1-N($AG11)*MOD($AJ11,12)/12)),IF($W11="DDB",IF(N($V11)&lt;=0,0,MIN(($S11-N($U11)),$S11-$S11*(1-MIN(1,24/$V11))^INT($AJ11/12)*(1-MIN(1,24/$V11)*MOD($AJ11,12)/12))),IF($W11="SYD",IF(N($V11)&lt;=0,0,($S11-N($U11))*(INT(MIN($AJ11,$V11)/12)*(2*($V11/12)-INT(MIN($AJ11,$V11)/12)+1)/2+MOD(MIN($AJ11,$V11),12)/12*(($V11/12)-INT(MIN($AJ11,$V11)/12)))/(($V11/12)*(($V11/12)+1)/2)),0))))),2))</f>
        <v/>
      </c>
      <c r="Y11" s="23">
        <f>IF($X11="","",$S11-$X11)</f>
        <v/>
      </c>
      <c r="AD11" s="20" t="n"/>
      <c r="AG11" s="24" t="n"/>
      <c r="AH11" s="20" t="n"/>
      <c r="AI11" s="21" t="n"/>
      <c r="AJ11" s="25">
        <f>IF($R11="","",IF($R11&gt;IF($AH11&lt;&gt;"",MIN($AH11,Settings!$B$3),Settings!$B$3),0,(YEAR(IF($AH11&lt;&gt;"",MIN($AH11,Settings!$B$3),Settings!$B$3))-YEAR($R11))*12+MONTH(IF($AH11&lt;&gt;"",MIN($AH11,Settings!$B$3),Settings!$B$3))-MONTH($R11)+1))</f>
        <v/>
      </c>
      <c r="AK11" s="25">
        <f>IF($R11="","",IF($R11&gt;MIN(Settings!$B$4-1,IF($AH11&lt;&gt;"",MIN($AH11,Settings!$B$3),Settings!$B$3)),0,(YEAR(MIN(Settings!$B$4-1,IF($AH11&lt;&gt;"",MIN($AH11,Settings!$B$3),Settings!$B$3)))-YEAR($R11))*12+MONTH(MIN(Settings!$B$4-1,IF($AH11&lt;&gt;"",MIN($AH11,Settings!$B$3),Settings!$B$3)))-MONTH($R11)+1))</f>
        <v/>
      </c>
      <c r="AL11" s="23">
        <f>IF(OR($S11="",$R11=""),"",ROUND(MAX(0,IF($W11="Straight-line",IF(N($V11)&lt;=0,0,($S11-N($U11))*MIN($AK11,$V11)/$V11),IF($W11="Reducing balance",MIN(($S11-N($U11)),$S11-$S11*(1-N($AG11))^INT($AK11/12)*(1-N($AG11)*MOD($AK11,12)/12)),IF($W11="DDB",IF(N($V11)&lt;=0,0,MIN(($S11-N($U11)),$S11-$S11*(1-MIN(1,24/$V11))^INT($AK11/12)*(1-MIN(1,24/$V11)*MOD($AK11,12)/12))),IF($W11="SYD",IF(N($V11)&lt;=0,0,($S11-N($U11))*(INT(MIN($AK11,$V11)/12)*(2*($V11/12)-INT(MIN($AK11,$V11)/12)+1)/2+MOD(MIN($AK11,$V11),12)/12*(($V11/12)-INT(MIN($AK11,$V11)/12)))/(($V11/12)*(($V11/12)+1)/2)),0))))),2))</f>
        <v/>
      </c>
      <c r="AM11" s="23">
        <f>IF($X11="","",$X11-$AL11)</f>
        <v/>
      </c>
      <c r="AN11" s="23">
        <f>IF(OR($AH11="",$Y11=""),"",N($AI11)-$Y11)</f>
        <v/>
      </c>
    </row>
    <row r="12">
      <c r="Q12" s="20" t="n"/>
      <c r="R12" s="20" t="n"/>
      <c r="S12" s="21" t="n"/>
      <c r="U12" s="21" t="n"/>
      <c r="V12" s="22" t="n"/>
      <c r="X12" s="23">
        <f>IF(OR($S12="",$R12=""),"",ROUND(MAX(0,IF($W12="Straight-line",IF(N($V12)&lt;=0,0,($S12-N($U12))*MIN($AJ12,$V12)/$V12),IF($W12="Reducing balance",MIN(($S12-N($U12)),$S12-$S12*(1-N($AG12))^INT($AJ12/12)*(1-N($AG12)*MOD($AJ12,12)/12)),IF($W12="DDB",IF(N($V12)&lt;=0,0,MIN(($S12-N($U12)),$S12-$S12*(1-MIN(1,24/$V12))^INT($AJ12/12)*(1-MIN(1,24/$V12)*MOD($AJ12,12)/12))),IF($W12="SYD",IF(N($V12)&lt;=0,0,($S12-N($U12))*(INT(MIN($AJ12,$V12)/12)*(2*($V12/12)-INT(MIN($AJ12,$V12)/12)+1)/2+MOD(MIN($AJ12,$V12),12)/12*(($V12/12)-INT(MIN($AJ12,$V12)/12)))/(($V12/12)*(($V12/12)+1)/2)),0))))),2))</f>
        <v/>
      </c>
      <c r="Y12" s="23">
        <f>IF($X12="","",$S12-$X12)</f>
        <v/>
      </c>
      <c r="AD12" s="20" t="n"/>
      <c r="AG12" s="24" t="n"/>
      <c r="AH12" s="20" t="n"/>
      <c r="AI12" s="21" t="n"/>
      <c r="AJ12" s="25">
        <f>IF($R12="","",IF($R12&gt;IF($AH12&lt;&gt;"",MIN($AH12,Settings!$B$3),Settings!$B$3),0,(YEAR(IF($AH12&lt;&gt;"",MIN($AH12,Settings!$B$3),Settings!$B$3))-YEAR($R12))*12+MONTH(IF($AH12&lt;&gt;"",MIN($AH12,Settings!$B$3),Settings!$B$3))-MONTH($R12)+1))</f>
        <v/>
      </c>
      <c r="AK12" s="25">
        <f>IF($R12="","",IF($R12&gt;MIN(Settings!$B$4-1,IF($AH12&lt;&gt;"",MIN($AH12,Settings!$B$3),Settings!$B$3)),0,(YEAR(MIN(Settings!$B$4-1,IF($AH12&lt;&gt;"",MIN($AH12,Settings!$B$3),Settings!$B$3)))-YEAR($R12))*12+MONTH(MIN(Settings!$B$4-1,IF($AH12&lt;&gt;"",MIN($AH12,Settings!$B$3),Settings!$B$3)))-MONTH($R12)+1))</f>
        <v/>
      </c>
      <c r="AL12" s="23">
        <f>IF(OR($S12="",$R12=""),"",ROUND(MAX(0,IF($W12="Straight-line",IF(N($V12)&lt;=0,0,($S12-N($U12))*MIN($AK12,$V12)/$V12),IF($W12="Reducing balance",MIN(($S12-N($U12)),$S12-$S12*(1-N($AG12))^INT($AK12/12)*(1-N($AG12)*MOD($AK12,12)/12)),IF($W12="DDB",IF(N($V12)&lt;=0,0,MIN(($S12-N($U12)),$S12-$S12*(1-MIN(1,24/$V12))^INT($AK12/12)*(1-MIN(1,24/$V12)*MOD($AK12,12)/12))),IF($W12="SYD",IF(N($V12)&lt;=0,0,($S12-N($U12))*(INT(MIN($AK12,$V12)/12)*(2*($V12/12)-INT(MIN($AK12,$V12)/12)+1)/2+MOD(MIN($AK12,$V12),12)/12*(($V12/12)-INT(MIN($AK12,$V12)/12)))/(($V12/12)*(($V12/12)+1)/2)),0))))),2))</f>
        <v/>
      </c>
      <c r="AM12" s="23">
        <f>IF($X12="","",$X12-$AL12)</f>
        <v/>
      </c>
      <c r="AN12" s="23">
        <f>IF(OR($AH12="",$Y12=""),"",N($AI12)-$Y12)</f>
        <v/>
      </c>
    </row>
    <row r="13">
      <c r="Q13" s="20" t="n"/>
      <c r="R13" s="20" t="n"/>
      <c r="S13" s="21" t="n"/>
      <c r="U13" s="21" t="n"/>
      <c r="V13" s="22" t="n"/>
      <c r="X13" s="23">
        <f>IF(OR($S13="",$R13=""),"",ROUND(MAX(0,IF($W13="Straight-line",IF(N($V13)&lt;=0,0,($S13-N($U13))*MIN($AJ13,$V13)/$V13),IF($W13="Reducing balance",MIN(($S13-N($U13)),$S13-$S13*(1-N($AG13))^INT($AJ13/12)*(1-N($AG13)*MOD($AJ13,12)/12)),IF($W13="DDB",IF(N($V13)&lt;=0,0,MIN(($S13-N($U13)),$S13-$S13*(1-MIN(1,24/$V13))^INT($AJ13/12)*(1-MIN(1,24/$V13)*MOD($AJ13,12)/12))),IF($W13="SYD",IF(N($V13)&lt;=0,0,($S13-N($U13))*(INT(MIN($AJ13,$V13)/12)*(2*($V13/12)-INT(MIN($AJ13,$V13)/12)+1)/2+MOD(MIN($AJ13,$V13),12)/12*(($V13/12)-INT(MIN($AJ13,$V13)/12)))/(($V13/12)*(($V13/12)+1)/2)),0))))),2))</f>
        <v/>
      </c>
      <c r="Y13" s="23">
        <f>IF($X13="","",$S13-$X13)</f>
        <v/>
      </c>
      <c r="AD13" s="20" t="n"/>
      <c r="AG13" s="24" t="n"/>
      <c r="AH13" s="20" t="n"/>
      <c r="AI13" s="21" t="n"/>
      <c r="AJ13" s="25">
        <f>IF($R13="","",IF($R13&gt;IF($AH13&lt;&gt;"",MIN($AH13,Settings!$B$3),Settings!$B$3),0,(YEAR(IF($AH13&lt;&gt;"",MIN($AH13,Settings!$B$3),Settings!$B$3))-YEAR($R13))*12+MONTH(IF($AH13&lt;&gt;"",MIN($AH13,Settings!$B$3),Settings!$B$3))-MONTH($R13)+1))</f>
        <v/>
      </c>
      <c r="AK13" s="25">
        <f>IF($R13="","",IF($R13&gt;MIN(Settings!$B$4-1,IF($AH13&lt;&gt;"",MIN($AH13,Settings!$B$3),Settings!$B$3)),0,(YEAR(MIN(Settings!$B$4-1,IF($AH13&lt;&gt;"",MIN($AH13,Settings!$B$3),Settings!$B$3)))-YEAR($R13))*12+MONTH(MIN(Settings!$B$4-1,IF($AH13&lt;&gt;"",MIN($AH13,Settings!$B$3),Settings!$B$3)))-MONTH($R13)+1))</f>
        <v/>
      </c>
      <c r="AL13" s="23">
        <f>IF(OR($S13="",$R13=""),"",ROUND(MAX(0,IF($W13="Straight-line",IF(N($V13)&lt;=0,0,($S13-N($U13))*MIN($AK13,$V13)/$V13),IF($W13="Reducing balance",MIN(($S13-N($U13)),$S13-$S13*(1-N($AG13))^INT($AK13/12)*(1-N($AG13)*MOD($AK13,12)/12)),IF($W13="DDB",IF(N($V13)&lt;=0,0,MIN(($S13-N($U13)),$S13-$S13*(1-MIN(1,24/$V13))^INT($AK13/12)*(1-MIN(1,24/$V13)*MOD($AK13,12)/12))),IF($W13="SYD",IF(N($V13)&lt;=0,0,($S13-N($U13))*(INT(MIN($AK13,$V13)/12)*(2*($V13/12)-INT(MIN($AK13,$V13)/12)+1)/2+MOD(MIN($AK13,$V13),12)/12*(($V13/12)-INT(MIN($AK13,$V13)/12)))/(($V13/12)*(($V13/12)+1)/2)),0))))),2))</f>
        <v/>
      </c>
      <c r="AM13" s="23">
        <f>IF($X13="","",$X13-$AL13)</f>
        <v/>
      </c>
      <c r="AN13" s="23">
        <f>IF(OR($AH13="",$Y13=""),"",N($AI13)-$Y13)</f>
        <v/>
      </c>
    </row>
    <row r="14">
      <c r="Q14" s="20" t="n"/>
      <c r="R14" s="20" t="n"/>
      <c r="S14" s="21" t="n"/>
      <c r="U14" s="21" t="n"/>
      <c r="V14" s="22" t="n"/>
      <c r="X14" s="23">
        <f>IF(OR($S14="",$R14=""),"",ROUND(MAX(0,IF($W14="Straight-line",IF(N($V14)&lt;=0,0,($S14-N($U14))*MIN($AJ14,$V14)/$V14),IF($W14="Reducing balance",MIN(($S14-N($U14)),$S14-$S14*(1-N($AG14))^INT($AJ14/12)*(1-N($AG14)*MOD($AJ14,12)/12)),IF($W14="DDB",IF(N($V14)&lt;=0,0,MIN(($S14-N($U14)),$S14-$S14*(1-MIN(1,24/$V14))^INT($AJ14/12)*(1-MIN(1,24/$V14)*MOD($AJ14,12)/12))),IF($W14="SYD",IF(N($V14)&lt;=0,0,($S14-N($U14))*(INT(MIN($AJ14,$V14)/12)*(2*($V14/12)-INT(MIN($AJ14,$V14)/12)+1)/2+MOD(MIN($AJ14,$V14),12)/12*(($V14/12)-INT(MIN($AJ14,$V14)/12)))/(($V14/12)*(($V14/12)+1)/2)),0))))),2))</f>
        <v/>
      </c>
      <c r="Y14" s="23">
        <f>IF($X14="","",$S14-$X14)</f>
        <v/>
      </c>
      <c r="AD14" s="20" t="n"/>
      <c r="AG14" s="24" t="n"/>
      <c r="AH14" s="20" t="n"/>
      <c r="AI14" s="21" t="n"/>
      <c r="AJ14" s="25">
        <f>IF($R14="","",IF($R14&gt;IF($AH14&lt;&gt;"",MIN($AH14,Settings!$B$3),Settings!$B$3),0,(YEAR(IF($AH14&lt;&gt;"",MIN($AH14,Settings!$B$3),Settings!$B$3))-YEAR($R14))*12+MONTH(IF($AH14&lt;&gt;"",MIN($AH14,Settings!$B$3),Settings!$B$3))-MONTH($R14)+1))</f>
        <v/>
      </c>
      <c r="AK14" s="25">
        <f>IF($R14="","",IF($R14&gt;MIN(Settings!$B$4-1,IF($AH14&lt;&gt;"",MIN($AH14,Settings!$B$3),Settings!$B$3)),0,(YEAR(MIN(Settings!$B$4-1,IF($AH14&lt;&gt;"",MIN($AH14,Settings!$B$3),Settings!$B$3)))-YEAR($R14))*12+MONTH(MIN(Settings!$B$4-1,IF($AH14&lt;&gt;"",MIN($AH14,Settings!$B$3),Settings!$B$3)))-MONTH($R14)+1))</f>
        <v/>
      </c>
      <c r="AL14" s="23">
        <f>IF(OR($S14="",$R14=""),"",ROUND(MAX(0,IF($W14="Straight-line",IF(N($V14)&lt;=0,0,($S14-N($U14))*MIN($AK14,$V14)/$V14),IF($W14="Reducing balance",MIN(($S14-N($U14)),$S14-$S14*(1-N($AG14))^INT($AK14/12)*(1-N($AG14)*MOD($AK14,12)/12)),IF($W14="DDB",IF(N($V14)&lt;=0,0,MIN(($S14-N($U14)),$S14-$S14*(1-MIN(1,24/$V14))^INT($AK14/12)*(1-MIN(1,24/$V14)*MOD($AK14,12)/12))),IF($W14="SYD",IF(N($V14)&lt;=0,0,($S14-N($U14))*(INT(MIN($AK14,$V14)/12)*(2*($V14/12)-INT(MIN($AK14,$V14)/12)+1)/2+MOD(MIN($AK14,$V14),12)/12*(($V14/12)-INT(MIN($AK14,$V14)/12)))/(($V14/12)*(($V14/12)+1)/2)),0))))),2))</f>
        <v/>
      </c>
      <c r="AM14" s="23">
        <f>IF($X14="","",$X14-$AL14)</f>
        <v/>
      </c>
      <c r="AN14" s="23">
        <f>IF(OR($AH14="",$Y14=""),"",N($AI14)-$Y14)</f>
        <v/>
      </c>
    </row>
    <row r="15">
      <c r="Q15" s="20" t="n"/>
      <c r="R15" s="20" t="n"/>
      <c r="S15" s="21" t="n"/>
      <c r="U15" s="21" t="n"/>
      <c r="V15" s="22" t="n"/>
      <c r="X15" s="23">
        <f>IF(OR($S15="",$R15=""),"",ROUND(MAX(0,IF($W15="Straight-line",IF(N($V15)&lt;=0,0,($S15-N($U15))*MIN($AJ15,$V15)/$V15),IF($W15="Reducing balance",MIN(($S15-N($U15)),$S15-$S15*(1-N($AG15))^INT($AJ15/12)*(1-N($AG15)*MOD($AJ15,12)/12)),IF($W15="DDB",IF(N($V15)&lt;=0,0,MIN(($S15-N($U15)),$S15-$S15*(1-MIN(1,24/$V15))^INT($AJ15/12)*(1-MIN(1,24/$V15)*MOD($AJ15,12)/12))),IF($W15="SYD",IF(N($V15)&lt;=0,0,($S15-N($U15))*(INT(MIN($AJ15,$V15)/12)*(2*($V15/12)-INT(MIN($AJ15,$V15)/12)+1)/2+MOD(MIN($AJ15,$V15),12)/12*(($V15/12)-INT(MIN($AJ15,$V15)/12)))/(($V15/12)*(($V15/12)+1)/2)),0))))),2))</f>
        <v/>
      </c>
      <c r="Y15" s="23">
        <f>IF($X15="","",$S15-$X15)</f>
        <v/>
      </c>
      <c r="AD15" s="20" t="n"/>
      <c r="AG15" s="24" t="n"/>
      <c r="AH15" s="20" t="n"/>
      <c r="AI15" s="21" t="n"/>
      <c r="AJ15" s="25">
        <f>IF($R15="","",IF($R15&gt;IF($AH15&lt;&gt;"",MIN($AH15,Settings!$B$3),Settings!$B$3),0,(YEAR(IF($AH15&lt;&gt;"",MIN($AH15,Settings!$B$3),Settings!$B$3))-YEAR($R15))*12+MONTH(IF($AH15&lt;&gt;"",MIN($AH15,Settings!$B$3),Settings!$B$3))-MONTH($R15)+1))</f>
        <v/>
      </c>
      <c r="AK15" s="25">
        <f>IF($R15="","",IF($R15&gt;MIN(Settings!$B$4-1,IF($AH15&lt;&gt;"",MIN($AH15,Settings!$B$3),Settings!$B$3)),0,(YEAR(MIN(Settings!$B$4-1,IF($AH15&lt;&gt;"",MIN($AH15,Settings!$B$3),Settings!$B$3)))-YEAR($R15))*12+MONTH(MIN(Settings!$B$4-1,IF($AH15&lt;&gt;"",MIN($AH15,Settings!$B$3),Settings!$B$3)))-MONTH($R15)+1))</f>
        <v/>
      </c>
      <c r="AL15" s="23">
        <f>IF(OR($S15="",$R15=""),"",ROUND(MAX(0,IF($W15="Straight-line",IF(N($V15)&lt;=0,0,($S15-N($U15))*MIN($AK15,$V15)/$V15),IF($W15="Reducing balance",MIN(($S15-N($U15)),$S15-$S15*(1-N($AG15))^INT($AK15/12)*(1-N($AG15)*MOD($AK15,12)/12)),IF($W15="DDB",IF(N($V15)&lt;=0,0,MIN(($S15-N($U15)),$S15-$S15*(1-MIN(1,24/$V15))^INT($AK15/12)*(1-MIN(1,24/$V15)*MOD($AK15,12)/12))),IF($W15="SYD",IF(N($V15)&lt;=0,0,($S15-N($U15))*(INT(MIN($AK15,$V15)/12)*(2*($V15/12)-INT(MIN($AK15,$V15)/12)+1)/2+MOD(MIN($AK15,$V15),12)/12*(($V15/12)-INT(MIN($AK15,$V15)/12)))/(($V15/12)*(($V15/12)+1)/2)),0))))),2))</f>
        <v/>
      </c>
      <c r="AM15" s="23">
        <f>IF($X15="","",$X15-$AL15)</f>
        <v/>
      </c>
      <c r="AN15" s="23">
        <f>IF(OR($AH15="",$Y15=""),"",N($AI15)-$Y15)</f>
        <v/>
      </c>
    </row>
    <row r="16">
      <c r="Q16" s="20" t="n"/>
      <c r="R16" s="20" t="n"/>
      <c r="S16" s="21" t="n"/>
      <c r="U16" s="21" t="n"/>
      <c r="V16" s="22" t="n"/>
      <c r="X16" s="23">
        <f>IF(OR($S16="",$R16=""),"",ROUND(MAX(0,IF($W16="Straight-line",IF(N($V16)&lt;=0,0,($S16-N($U16))*MIN($AJ16,$V16)/$V16),IF($W16="Reducing balance",MIN(($S16-N($U16)),$S16-$S16*(1-N($AG16))^INT($AJ16/12)*(1-N($AG16)*MOD($AJ16,12)/12)),IF($W16="DDB",IF(N($V16)&lt;=0,0,MIN(($S16-N($U16)),$S16-$S16*(1-MIN(1,24/$V16))^INT($AJ16/12)*(1-MIN(1,24/$V16)*MOD($AJ16,12)/12))),IF($W16="SYD",IF(N($V16)&lt;=0,0,($S16-N($U16))*(INT(MIN($AJ16,$V16)/12)*(2*($V16/12)-INT(MIN($AJ16,$V16)/12)+1)/2+MOD(MIN($AJ16,$V16),12)/12*(($V16/12)-INT(MIN($AJ16,$V16)/12)))/(($V16/12)*(($V16/12)+1)/2)),0))))),2))</f>
        <v/>
      </c>
      <c r="Y16" s="23">
        <f>IF($X16="","",$S16-$X16)</f>
        <v/>
      </c>
      <c r="AD16" s="20" t="n"/>
      <c r="AG16" s="24" t="n"/>
      <c r="AH16" s="20" t="n"/>
      <c r="AI16" s="21" t="n"/>
      <c r="AJ16" s="25">
        <f>IF($R16="","",IF($R16&gt;IF($AH16&lt;&gt;"",MIN($AH16,Settings!$B$3),Settings!$B$3),0,(YEAR(IF($AH16&lt;&gt;"",MIN($AH16,Settings!$B$3),Settings!$B$3))-YEAR($R16))*12+MONTH(IF($AH16&lt;&gt;"",MIN($AH16,Settings!$B$3),Settings!$B$3))-MONTH($R16)+1))</f>
        <v/>
      </c>
      <c r="AK16" s="25">
        <f>IF($R16="","",IF($R16&gt;MIN(Settings!$B$4-1,IF($AH16&lt;&gt;"",MIN($AH16,Settings!$B$3),Settings!$B$3)),0,(YEAR(MIN(Settings!$B$4-1,IF($AH16&lt;&gt;"",MIN($AH16,Settings!$B$3),Settings!$B$3)))-YEAR($R16))*12+MONTH(MIN(Settings!$B$4-1,IF($AH16&lt;&gt;"",MIN($AH16,Settings!$B$3),Settings!$B$3)))-MONTH($R16)+1))</f>
        <v/>
      </c>
      <c r="AL16" s="23">
        <f>IF(OR($S16="",$R16=""),"",ROUND(MAX(0,IF($W16="Straight-line",IF(N($V16)&lt;=0,0,($S16-N($U16))*MIN($AK16,$V16)/$V16),IF($W16="Reducing balance",MIN(($S16-N($U16)),$S16-$S16*(1-N($AG16))^INT($AK16/12)*(1-N($AG16)*MOD($AK16,12)/12)),IF($W16="DDB",IF(N($V16)&lt;=0,0,MIN(($S16-N($U16)),$S16-$S16*(1-MIN(1,24/$V16))^INT($AK16/12)*(1-MIN(1,24/$V16)*MOD($AK16,12)/12))),IF($W16="SYD",IF(N($V16)&lt;=0,0,($S16-N($U16))*(INT(MIN($AK16,$V16)/12)*(2*($V16/12)-INT(MIN($AK16,$V16)/12)+1)/2+MOD(MIN($AK16,$V16),12)/12*(($V16/12)-INT(MIN($AK16,$V16)/12)))/(($V16/12)*(($V16/12)+1)/2)),0))))),2))</f>
        <v/>
      </c>
      <c r="AM16" s="23">
        <f>IF($X16="","",$X16-$AL16)</f>
        <v/>
      </c>
      <c r="AN16" s="23">
        <f>IF(OR($AH16="",$Y16=""),"",N($AI16)-$Y16)</f>
        <v/>
      </c>
    </row>
    <row r="17">
      <c r="Q17" s="20" t="n"/>
      <c r="R17" s="20" t="n"/>
      <c r="S17" s="21" t="n"/>
      <c r="U17" s="21" t="n"/>
      <c r="V17" s="22" t="n"/>
      <c r="X17" s="23">
        <f>IF(OR($S17="",$R17=""),"",ROUND(MAX(0,IF($W17="Straight-line",IF(N($V17)&lt;=0,0,($S17-N($U17))*MIN($AJ17,$V17)/$V17),IF($W17="Reducing balance",MIN(($S17-N($U17)),$S17-$S17*(1-N($AG17))^INT($AJ17/12)*(1-N($AG17)*MOD($AJ17,12)/12)),IF($W17="DDB",IF(N($V17)&lt;=0,0,MIN(($S17-N($U17)),$S17-$S17*(1-MIN(1,24/$V17))^INT($AJ17/12)*(1-MIN(1,24/$V17)*MOD($AJ17,12)/12))),IF($W17="SYD",IF(N($V17)&lt;=0,0,($S17-N($U17))*(INT(MIN($AJ17,$V17)/12)*(2*($V17/12)-INT(MIN($AJ17,$V17)/12)+1)/2+MOD(MIN($AJ17,$V17),12)/12*(($V17/12)-INT(MIN($AJ17,$V17)/12)))/(($V17/12)*(($V17/12)+1)/2)),0))))),2))</f>
        <v/>
      </c>
      <c r="Y17" s="23">
        <f>IF($X17="","",$S17-$X17)</f>
        <v/>
      </c>
      <c r="AD17" s="20" t="n"/>
      <c r="AG17" s="24" t="n"/>
      <c r="AH17" s="20" t="n"/>
      <c r="AI17" s="21" t="n"/>
      <c r="AJ17" s="25">
        <f>IF($R17="","",IF($R17&gt;IF($AH17&lt;&gt;"",MIN($AH17,Settings!$B$3),Settings!$B$3),0,(YEAR(IF($AH17&lt;&gt;"",MIN($AH17,Settings!$B$3),Settings!$B$3))-YEAR($R17))*12+MONTH(IF($AH17&lt;&gt;"",MIN($AH17,Settings!$B$3),Settings!$B$3))-MONTH($R17)+1))</f>
        <v/>
      </c>
      <c r="AK17" s="25">
        <f>IF($R17="","",IF($R17&gt;MIN(Settings!$B$4-1,IF($AH17&lt;&gt;"",MIN($AH17,Settings!$B$3),Settings!$B$3)),0,(YEAR(MIN(Settings!$B$4-1,IF($AH17&lt;&gt;"",MIN($AH17,Settings!$B$3),Settings!$B$3)))-YEAR($R17))*12+MONTH(MIN(Settings!$B$4-1,IF($AH17&lt;&gt;"",MIN($AH17,Settings!$B$3),Settings!$B$3)))-MONTH($R17)+1))</f>
        <v/>
      </c>
      <c r="AL17" s="23">
        <f>IF(OR($S17="",$R17=""),"",ROUND(MAX(0,IF($W17="Straight-line",IF(N($V17)&lt;=0,0,($S17-N($U17))*MIN($AK17,$V17)/$V17),IF($W17="Reducing balance",MIN(($S17-N($U17)),$S17-$S17*(1-N($AG17))^INT($AK17/12)*(1-N($AG17)*MOD($AK17,12)/12)),IF($W17="DDB",IF(N($V17)&lt;=0,0,MIN(($S17-N($U17)),$S17-$S17*(1-MIN(1,24/$V17))^INT($AK17/12)*(1-MIN(1,24/$V17)*MOD($AK17,12)/12))),IF($W17="SYD",IF(N($V17)&lt;=0,0,($S17-N($U17))*(INT(MIN($AK17,$V17)/12)*(2*($V17/12)-INT(MIN($AK17,$V17)/12)+1)/2+MOD(MIN($AK17,$V17),12)/12*(($V17/12)-INT(MIN($AK17,$V17)/12)))/(($V17/12)*(($V17/12)+1)/2)),0))))),2))</f>
        <v/>
      </c>
      <c r="AM17" s="23">
        <f>IF($X17="","",$X17-$AL17)</f>
        <v/>
      </c>
      <c r="AN17" s="23">
        <f>IF(OR($AH17="",$Y17=""),"",N($AI17)-$Y17)</f>
        <v/>
      </c>
    </row>
    <row r="18">
      <c r="Q18" s="20" t="n"/>
      <c r="R18" s="20" t="n"/>
      <c r="S18" s="21" t="n"/>
      <c r="U18" s="21" t="n"/>
      <c r="V18" s="22" t="n"/>
      <c r="X18" s="23">
        <f>IF(OR($S18="",$R18=""),"",ROUND(MAX(0,IF($W18="Straight-line",IF(N($V18)&lt;=0,0,($S18-N($U18))*MIN($AJ18,$V18)/$V18),IF($W18="Reducing balance",MIN(($S18-N($U18)),$S18-$S18*(1-N($AG18))^INT($AJ18/12)*(1-N($AG18)*MOD($AJ18,12)/12)),IF($W18="DDB",IF(N($V18)&lt;=0,0,MIN(($S18-N($U18)),$S18-$S18*(1-MIN(1,24/$V18))^INT($AJ18/12)*(1-MIN(1,24/$V18)*MOD($AJ18,12)/12))),IF($W18="SYD",IF(N($V18)&lt;=0,0,($S18-N($U18))*(INT(MIN($AJ18,$V18)/12)*(2*($V18/12)-INT(MIN($AJ18,$V18)/12)+1)/2+MOD(MIN($AJ18,$V18),12)/12*(($V18/12)-INT(MIN($AJ18,$V18)/12)))/(($V18/12)*(($V18/12)+1)/2)),0))))),2))</f>
        <v/>
      </c>
      <c r="Y18" s="23">
        <f>IF($X18="","",$S18-$X18)</f>
        <v/>
      </c>
      <c r="AD18" s="20" t="n"/>
      <c r="AG18" s="24" t="n"/>
      <c r="AH18" s="20" t="n"/>
      <c r="AI18" s="21" t="n"/>
      <c r="AJ18" s="25">
        <f>IF($R18="","",IF($R18&gt;IF($AH18&lt;&gt;"",MIN($AH18,Settings!$B$3),Settings!$B$3),0,(YEAR(IF($AH18&lt;&gt;"",MIN($AH18,Settings!$B$3),Settings!$B$3))-YEAR($R18))*12+MONTH(IF($AH18&lt;&gt;"",MIN($AH18,Settings!$B$3),Settings!$B$3))-MONTH($R18)+1))</f>
        <v/>
      </c>
      <c r="AK18" s="25">
        <f>IF($R18="","",IF($R18&gt;MIN(Settings!$B$4-1,IF($AH18&lt;&gt;"",MIN($AH18,Settings!$B$3),Settings!$B$3)),0,(YEAR(MIN(Settings!$B$4-1,IF($AH18&lt;&gt;"",MIN($AH18,Settings!$B$3),Settings!$B$3)))-YEAR($R18))*12+MONTH(MIN(Settings!$B$4-1,IF($AH18&lt;&gt;"",MIN($AH18,Settings!$B$3),Settings!$B$3)))-MONTH($R18)+1))</f>
        <v/>
      </c>
      <c r="AL18" s="23">
        <f>IF(OR($S18="",$R18=""),"",ROUND(MAX(0,IF($W18="Straight-line",IF(N($V18)&lt;=0,0,($S18-N($U18))*MIN($AK18,$V18)/$V18),IF($W18="Reducing balance",MIN(($S18-N($U18)),$S18-$S18*(1-N($AG18))^INT($AK18/12)*(1-N($AG18)*MOD($AK18,12)/12)),IF($W18="DDB",IF(N($V18)&lt;=0,0,MIN(($S18-N($U18)),$S18-$S18*(1-MIN(1,24/$V18))^INT($AK18/12)*(1-MIN(1,24/$V18)*MOD($AK18,12)/12))),IF($W18="SYD",IF(N($V18)&lt;=0,0,($S18-N($U18))*(INT(MIN($AK18,$V18)/12)*(2*($V18/12)-INT(MIN($AK18,$V18)/12)+1)/2+MOD(MIN($AK18,$V18),12)/12*(($V18/12)-INT(MIN($AK18,$V18)/12)))/(($V18/12)*(($V18/12)+1)/2)),0))))),2))</f>
        <v/>
      </c>
      <c r="AM18" s="23">
        <f>IF($X18="","",$X18-$AL18)</f>
        <v/>
      </c>
      <c r="AN18" s="23">
        <f>IF(OR($AH18="",$Y18=""),"",N($AI18)-$Y18)</f>
        <v/>
      </c>
    </row>
    <row r="19">
      <c r="Q19" s="20" t="n"/>
      <c r="R19" s="20" t="n"/>
      <c r="S19" s="21" t="n"/>
      <c r="U19" s="21" t="n"/>
      <c r="V19" s="22" t="n"/>
      <c r="X19" s="23">
        <f>IF(OR($S19="",$R19=""),"",ROUND(MAX(0,IF($W19="Straight-line",IF(N($V19)&lt;=0,0,($S19-N($U19))*MIN($AJ19,$V19)/$V19),IF($W19="Reducing balance",MIN(($S19-N($U19)),$S19-$S19*(1-N($AG19))^INT($AJ19/12)*(1-N($AG19)*MOD($AJ19,12)/12)),IF($W19="DDB",IF(N($V19)&lt;=0,0,MIN(($S19-N($U19)),$S19-$S19*(1-MIN(1,24/$V19))^INT($AJ19/12)*(1-MIN(1,24/$V19)*MOD($AJ19,12)/12))),IF($W19="SYD",IF(N($V19)&lt;=0,0,($S19-N($U19))*(INT(MIN($AJ19,$V19)/12)*(2*($V19/12)-INT(MIN($AJ19,$V19)/12)+1)/2+MOD(MIN($AJ19,$V19),12)/12*(($V19/12)-INT(MIN($AJ19,$V19)/12)))/(($V19/12)*(($V19/12)+1)/2)),0))))),2))</f>
        <v/>
      </c>
      <c r="Y19" s="23">
        <f>IF($X19="","",$S19-$X19)</f>
        <v/>
      </c>
      <c r="AD19" s="20" t="n"/>
      <c r="AG19" s="24" t="n"/>
      <c r="AH19" s="20" t="n"/>
      <c r="AI19" s="21" t="n"/>
      <c r="AJ19" s="25">
        <f>IF($R19="","",IF($R19&gt;IF($AH19&lt;&gt;"",MIN($AH19,Settings!$B$3),Settings!$B$3),0,(YEAR(IF($AH19&lt;&gt;"",MIN($AH19,Settings!$B$3),Settings!$B$3))-YEAR($R19))*12+MONTH(IF($AH19&lt;&gt;"",MIN($AH19,Settings!$B$3),Settings!$B$3))-MONTH($R19)+1))</f>
        <v/>
      </c>
      <c r="AK19" s="25">
        <f>IF($R19="","",IF($R19&gt;MIN(Settings!$B$4-1,IF($AH19&lt;&gt;"",MIN($AH19,Settings!$B$3),Settings!$B$3)),0,(YEAR(MIN(Settings!$B$4-1,IF($AH19&lt;&gt;"",MIN($AH19,Settings!$B$3),Settings!$B$3)))-YEAR($R19))*12+MONTH(MIN(Settings!$B$4-1,IF($AH19&lt;&gt;"",MIN($AH19,Settings!$B$3),Settings!$B$3)))-MONTH($R19)+1))</f>
        <v/>
      </c>
      <c r="AL19" s="23">
        <f>IF(OR($S19="",$R19=""),"",ROUND(MAX(0,IF($W19="Straight-line",IF(N($V19)&lt;=0,0,($S19-N($U19))*MIN($AK19,$V19)/$V19),IF($W19="Reducing balance",MIN(($S19-N($U19)),$S19-$S19*(1-N($AG19))^INT($AK19/12)*(1-N($AG19)*MOD($AK19,12)/12)),IF($W19="DDB",IF(N($V19)&lt;=0,0,MIN(($S19-N($U19)),$S19-$S19*(1-MIN(1,24/$V19))^INT($AK19/12)*(1-MIN(1,24/$V19)*MOD($AK19,12)/12))),IF($W19="SYD",IF(N($V19)&lt;=0,0,($S19-N($U19))*(INT(MIN($AK19,$V19)/12)*(2*($V19/12)-INT(MIN($AK19,$V19)/12)+1)/2+MOD(MIN($AK19,$V19),12)/12*(($V19/12)-INT(MIN($AK19,$V19)/12)))/(($V19/12)*(($V19/12)+1)/2)),0))))),2))</f>
        <v/>
      </c>
      <c r="AM19" s="23">
        <f>IF($X19="","",$X19-$AL19)</f>
        <v/>
      </c>
      <c r="AN19" s="23">
        <f>IF(OR($AH19="",$Y19=""),"",N($AI19)-$Y19)</f>
        <v/>
      </c>
    </row>
    <row r="20">
      <c r="Q20" s="20" t="n"/>
      <c r="R20" s="20" t="n"/>
      <c r="S20" s="21" t="n"/>
      <c r="U20" s="21" t="n"/>
      <c r="V20" s="22" t="n"/>
      <c r="X20" s="23">
        <f>IF(OR($S20="",$R20=""),"",ROUND(MAX(0,IF($W20="Straight-line",IF(N($V20)&lt;=0,0,($S20-N($U20))*MIN($AJ20,$V20)/$V20),IF($W20="Reducing balance",MIN(($S20-N($U20)),$S20-$S20*(1-N($AG20))^INT($AJ20/12)*(1-N($AG20)*MOD($AJ20,12)/12)),IF($W20="DDB",IF(N($V20)&lt;=0,0,MIN(($S20-N($U20)),$S20-$S20*(1-MIN(1,24/$V20))^INT($AJ20/12)*(1-MIN(1,24/$V20)*MOD($AJ20,12)/12))),IF($W20="SYD",IF(N($V20)&lt;=0,0,($S20-N($U20))*(INT(MIN($AJ20,$V20)/12)*(2*($V20/12)-INT(MIN($AJ20,$V20)/12)+1)/2+MOD(MIN($AJ20,$V20),12)/12*(($V20/12)-INT(MIN($AJ20,$V20)/12)))/(($V20/12)*(($V20/12)+1)/2)),0))))),2))</f>
        <v/>
      </c>
      <c r="Y20" s="23">
        <f>IF($X20="","",$S20-$X20)</f>
        <v/>
      </c>
      <c r="AD20" s="20" t="n"/>
      <c r="AG20" s="24" t="n"/>
      <c r="AH20" s="20" t="n"/>
      <c r="AI20" s="21" t="n"/>
      <c r="AJ20" s="25">
        <f>IF($R20="","",IF($R20&gt;IF($AH20&lt;&gt;"",MIN($AH20,Settings!$B$3),Settings!$B$3),0,(YEAR(IF($AH20&lt;&gt;"",MIN($AH20,Settings!$B$3),Settings!$B$3))-YEAR($R20))*12+MONTH(IF($AH20&lt;&gt;"",MIN($AH20,Settings!$B$3),Settings!$B$3))-MONTH($R20)+1))</f>
        <v/>
      </c>
      <c r="AK20" s="25">
        <f>IF($R20="","",IF($R20&gt;MIN(Settings!$B$4-1,IF($AH20&lt;&gt;"",MIN($AH20,Settings!$B$3),Settings!$B$3)),0,(YEAR(MIN(Settings!$B$4-1,IF($AH20&lt;&gt;"",MIN($AH20,Settings!$B$3),Settings!$B$3)))-YEAR($R20))*12+MONTH(MIN(Settings!$B$4-1,IF($AH20&lt;&gt;"",MIN($AH20,Settings!$B$3),Settings!$B$3)))-MONTH($R20)+1))</f>
        <v/>
      </c>
      <c r="AL20" s="23">
        <f>IF(OR($S20="",$R20=""),"",ROUND(MAX(0,IF($W20="Straight-line",IF(N($V20)&lt;=0,0,($S20-N($U20))*MIN($AK20,$V20)/$V20),IF($W20="Reducing balance",MIN(($S20-N($U20)),$S20-$S20*(1-N($AG20))^INT($AK20/12)*(1-N($AG20)*MOD($AK20,12)/12)),IF($W20="DDB",IF(N($V20)&lt;=0,0,MIN(($S20-N($U20)),$S20-$S20*(1-MIN(1,24/$V20))^INT($AK20/12)*(1-MIN(1,24/$V20)*MOD($AK20,12)/12))),IF($W20="SYD",IF(N($V20)&lt;=0,0,($S20-N($U20))*(INT(MIN($AK20,$V20)/12)*(2*($V20/12)-INT(MIN($AK20,$V20)/12)+1)/2+MOD(MIN($AK20,$V20),12)/12*(($V20/12)-INT(MIN($AK20,$V20)/12)))/(($V20/12)*(($V20/12)+1)/2)),0))))),2))</f>
        <v/>
      </c>
      <c r="AM20" s="23">
        <f>IF($X20="","",$X20-$AL20)</f>
        <v/>
      </c>
      <c r="AN20" s="23">
        <f>IF(OR($AH20="",$Y20=""),"",N($AI20)-$Y20)</f>
        <v/>
      </c>
    </row>
    <row r="21">
      <c r="Q21" s="20" t="n"/>
      <c r="R21" s="20" t="n"/>
      <c r="S21" s="21" t="n"/>
      <c r="U21" s="21" t="n"/>
      <c r="V21" s="22" t="n"/>
      <c r="X21" s="23">
        <f>IF(OR($S21="",$R21=""),"",ROUND(MAX(0,IF($W21="Straight-line",IF(N($V21)&lt;=0,0,($S21-N($U21))*MIN($AJ21,$V21)/$V21),IF($W21="Reducing balance",MIN(($S21-N($U21)),$S21-$S21*(1-N($AG21))^INT($AJ21/12)*(1-N($AG21)*MOD($AJ21,12)/12)),IF($W21="DDB",IF(N($V21)&lt;=0,0,MIN(($S21-N($U21)),$S21-$S21*(1-MIN(1,24/$V21))^INT($AJ21/12)*(1-MIN(1,24/$V21)*MOD($AJ21,12)/12))),IF($W21="SYD",IF(N($V21)&lt;=0,0,($S21-N($U21))*(INT(MIN($AJ21,$V21)/12)*(2*($V21/12)-INT(MIN($AJ21,$V21)/12)+1)/2+MOD(MIN($AJ21,$V21),12)/12*(($V21/12)-INT(MIN($AJ21,$V21)/12)))/(($V21/12)*(($V21/12)+1)/2)),0))))),2))</f>
        <v/>
      </c>
      <c r="Y21" s="23">
        <f>IF($X21="","",$S21-$X21)</f>
        <v/>
      </c>
      <c r="AD21" s="20" t="n"/>
      <c r="AG21" s="24" t="n"/>
      <c r="AH21" s="20" t="n"/>
      <c r="AI21" s="21" t="n"/>
      <c r="AJ21" s="25">
        <f>IF($R21="","",IF($R21&gt;IF($AH21&lt;&gt;"",MIN($AH21,Settings!$B$3),Settings!$B$3),0,(YEAR(IF($AH21&lt;&gt;"",MIN($AH21,Settings!$B$3),Settings!$B$3))-YEAR($R21))*12+MONTH(IF($AH21&lt;&gt;"",MIN($AH21,Settings!$B$3),Settings!$B$3))-MONTH($R21)+1))</f>
        <v/>
      </c>
      <c r="AK21" s="25">
        <f>IF($R21="","",IF($R21&gt;MIN(Settings!$B$4-1,IF($AH21&lt;&gt;"",MIN($AH21,Settings!$B$3),Settings!$B$3)),0,(YEAR(MIN(Settings!$B$4-1,IF($AH21&lt;&gt;"",MIN($AH21,Settings!$B$3),Settings!$B$3)))-YEAR($R21))*12+MONTH(MIN(Settings!$B$4-1,IF($AH21&lt;&gt;"",MIN($AH21,Settings!$B$3),Settings!$B$3)))-MONTH($R21)+1))</f>
        <v/>
      </c>
      <c r="AL21" s="23">
        <f>IF(OR($S21="",$R21=""),"",ROUND(MAX(0,IF($W21="Straight-line",IF(N($V21)&lt;=0,0,($S21-N($U21))*MIN($AK21,$V21)/$V21),IF($W21="Reducing balance",MIN(($S21-N($U21)),$S21-$S21*(1-N($AG21))^INT($AK21/12)*(1-N($AG21)*MOD($AK21,12)/12)),IF($W21="DDB",IF(N($V21)&lt;=0,0,MIN(($S21-N($U21)),$S21-$S21*(1-MIN(1,24/$V21))^INT($AK21/12)*(1-MIN(1,24/$V21)*MOD($AK21,12)/12))),IF($W21="SYD",IF(N($V21)&lt;=0,0,($S21-N($U21))*(INT(MIN($AK21,$V21)/12)*(2*($V21/12)-INT(MIN($AK21,$V21)/12)+1)/2+MOD(MIN($AK21,$V21),12)/12*(($V21/12)-INT(MIN($AK21,$V21)/12)))/(($V21/12)*(($V21/12)+1)/2)),0))))),2))</f>
        <v/>
      </c>
      <c r="AM21" s="23">
        <f>IF($X21="","",$X21-$AL21)</f>
        <v/>
      </c>
      <c r="AN21" s="23">
        <f>IF(OR($AH21="",$Y21=""),"",N($AI21)-$Y21)</f>
        <v/>
      </c>
    </row>
    <row r="22">
      <c r="Q22" s="20" t="n"/>
      <c r="R22" s="20" t="n"/>
      <c r="S22" s="21" t="n"/>
      <c r="U22" s="21" t="n"/>
      <c r="V22" s="22" t="n"/>
      <c r="X22" s="23">
        <f>IF(OR($S22="",$R22=""),"",ROUND(MAX(0,IF($W22="Straight-line",IF(N($V22)&lt;=0,0,($S22-N($U22))*MIN($AJ22,$V22)/$V22),IF($W22="Reducing balance",MIN(($S22-N($U22)),$S22-$S22*(1-N($AG22))^INT($AJ22/12)*(1-N($AG22)*MOD($AJ22,12)/12)),IF($W22="DDB",IF(N($V22)&lt;=0,0,MIN(($S22-N($U22)),$S22-$S22*(1-MIN(1,24/$V22))^INT($AJ22/12)*(1-MIN(1,24/$V22)*MOD($AJ22,12)/12))),IF($W22="SYD",IF(N($V22)&lt;=0,0,($S22-N($U22))*(INT(MIN($AJ22,$V22)/12)*(2*($V22/12)-INT(MIN($AJ22,$V22)/12)+1)/2+MOD(MIN($AJ22,$V22),12)/12*(($V22/12)-INT(MIN($AJ22,$V22)/12)))/(($V22/12)*(($V22/12)+1)/2)),0))))),2))</f>
        <v/>
      </c>
      <c r="Y22" s="23">
        <f>IF($X22="","",$S22-$X22)</f>
        <v/>
      </c>
      <c r="AD22" s="20" t="n"/>
      <c r="AG22" s="24" t="n"/>
      <c r="AH22" s="20" t="n"/>
      <c r="AI22" s="21" t="n"/>
      <c r="AJ22" s="25">
        <f>IF($R22="","",IF($R22&gt;IF($AH22&lt;&gt;"",MIN($AH22,Settings!$B$3),Settings!$B$3),0,(YEAR(IF($AH22&lt;&gt;"",MIN($AH22,Settings!$B$3),Settings!$B$3))-YEAR($R22))*12+MONTH(IF($AH22&lt;&gt;"",MIN($AH22,Settings!$B$3),Settings!$B$3))-MONTH($R22)+1))</f>
        <v/>
      </c>
      <c r="AK22" s="25">
        <f>IF($R22="","",IF($R22&gt;MIN(Settings!$B$4-1,IF($AH22&lt;&gt;"",MIN($AH22,Settings!$B$3),Settings!$B$3)),0,(YEAR(MIN(Settings!$B$4-1,IF($AH22&lt;&gt;"",MIN($AH22,Settings!$B$3),Settings!$B$3)))-YEAR($R22))*12+MONTH(MIN(Settings!$B$4-1,IF($AH22&lt;&gt;"",MIN($AH22,Settings!$B$3),Settings!$B$3)))-MONTH($R22)+1))</f>
        <v/>
      </c>
      <c r="AL22" s="23">
        <f>IF(OR($S22="",$R22=""),"",ROUND(MAX(0,IF($W22="Straight-line",IF(N($V22)&lt;=0,0,($S22-N($U22))*MIN($AK22,$V22)/$V22),IF($W22="Reducing balance",MIN(($S22-N($U22)),$S22-$S22*(1-N($AG22))^INT($AK22/12)*(1-N($AG22)*MOD($AK22,12)/12)),IF($W22="DDB",IF(N($V22)&lt;=0,0,MIN(($S22-N($U22)),$S22-$S22*(1-MIN(1,24/$V22))^INT($AK22/12)*(1-MIN(1,24/$V22)*MOD($AK22,12)/12))),IF($W22="SYD",IF(N($V22)&lt;=0,0,($S22-N($U22))*(INT(MIN($AK22,$V22)/12)*(2*($V22/12)-INT(MIN($AK22,$V22)/12)+1)/2+MOD(MIN($AK22,$V22),12)/12*(($V22/12)-INT(MIN($AK22,$V22)/12)))/(($V22/12)*(($V22/12)+1)/2)),0))))),2))</f>
        <v/>
      </c>
      <c r="AM22" s="23">
        <f>IF($X22="","",$X22-$AL22)</f>
        <v/>
      </c>
      <c r="AN22" s="23">
        <f>IF(OR($AH22="",$Y22=""),"",N($AI22)-$Y22)</f>
        <v/>
      </c>
    </row>
    <row r="23">
      <c r="Q23" s="20" t="n"/>
      <c r="R23" s="20" t="n"/>
      <c r="S23" s="21" t="n"/>
      <c r="U23" s="21" t="n"/>
      <c r="V23" s="22" t="n"/>
      <c r="X23" s="23">
        <f>IF(OR($S23="",$R23=""),"",ROUND(MAX(0,IF($W23="Straight-line",IF(N($V23)&lt;=0,0,($S23-N($U23))*MIN($AJ23,$V23)/$V23),IF($W23="Reducing balance",MIN(($S23-N($U23)),$S23-$S23*(1-N($AG23))^INT($AJ23/12)*(1-N($AG23)*MOD($AJ23,12)/12)),IF($W23="DDB",IF(N($V23)&lt;=0,0,MIN(($S23-N($U23)),$S23-$S23*(1-MIN(1,24/$V23))^INT($AJ23/12)*(1-MIN(1,24/$V23)*MOD($AJ23,12)/12))),IF($W23="SYD",IF(N($V23)&lt;=0,0,($S23-N($U23))*(INT(MIN($AJ23,$V23)/12)*(2*($V23/12)-INT(MIN($AJ23,$V23)/12)+1)/2+MOD(MIN($AJ23,$V23),12)/12*(($V23/12)-INT(MIN($AJ23,$V23)/12)))/(($V23/12)*(($V23/12)+1)/2)),0))))),2))</f>
        <v/>
      </c>
      <c r="Y23" s="23">
        <f>IF($X23="","",$S23-$X23)</f>
        <v/>
      </c>
      <c r="AD23" s="20" t="n"/>
      <c r="AG23" s="24" t="n"/>
      <c r="AH23" s="20" t="n"/>
      <c r="AI23" s="21" t="n"/>
      <c r="AJ23" s="25">
        <f>IF($R23="","",IF($R23&gt;IF($AH23&lt;&gt;"",MIN($AH23,Settings!$B$3),Settings!$B$3),0,(YEAR(IF($AH23&lt;&gt;"",MIN($AH23,Settings!$B$3),Settings!$B$3))-YEAR($R23))*12+MONTH(IF($AH23&lt;&gt;"",MIN($AH23,Settings!$B$3),Settings!$B$3))-MONTH($R23)+1))</f>
        <v/>
      </c>
      <c r="AK23" s="25">
        <f>IF($R23="","",IF($R23&gt;MIN(Settings!$B$4-1,IF($AH23&lt;&gt;"",MIN($AH23,Settings!$B$3),Settings!$B$3)),0,(YEAR(MIN(Settings!$B$4-1,IF($AH23&lt;&gt;"",MIN($AH23,Settings!$B$3),Settings!$B$3)))-YEAR($R23))*12+MONTH(MIN(Settings!$B$4-1,IF($AH23&lt;&gt;"",MIN($AH23,Settings!$B$3),Settings!$B$3)))-MONTH($R23)+1))</f>
        <v/>
      </c>
      <c r="AL23" s="23">
        <f>IF(OR($S23="",$R23=""),"",ROUND(MAX(0,IF($W23="Straight-line",IF(N($V23)&lt;=0,0,($S23-N($U23))*MIN($AK23,$V23)/$V23),IF($W23="Reducing balance",MIN(($S23-N($U23)),$S23-$S23*(1-N($AG23))^INT($AK23/12)*(1-N($AG23)*MOD($AK23,12)/12)),IF($W23="DDB",IF(N($V23)&lt;=0,0,MIN(($S23-N($U23)),$S23-$S23*(1-MIN(1,24/$V23))^INT($AK23/12)*(1-MIN(1,24/$V23)*MOD($AK23,12)/12))),IF($W23="SYD",IF(N($V23)&lt;=0,0,($S23-N($U23))*(INT(MIN($AK23,$V23)/12)*(2*($V23/12)-INT(MIN($AK23,$V23)/12)+1)/2+MOD(MIN($AK23,$V23),12)/12*(($V23/12)-INT(MIN($AK23,$V23)/12)))/(($V23/12)*(($V23/12)+1)/2)),0))))),2))</f>
        <v/>
      </c>
      <c r="AM23" s="23">
        <f>IF($X23="","",$X23-$AL23)</f>
        <v/>
      </c>
      <c r="AN23" s="23">
        <f>IF(OR($AH23="",$Y23=""),"",N($AI23)-$Y23)</f>
        <v/>
      </c>
    </row>
    <row r="24">
      <c r="Q24" s="20" t="n"/>
      <c r="R24" s="20" t="n"/>
      <c r="S24" s="21" t="n"/>
      <c r="U24" s="21" t="n"/>
      <c r="V24" s="22" t="n"/>
      <c r="X24" s="23">
        <f>IF(OR($S24="",$R24=""),"",ROUND(MAX(0,IF($W24="Straight-line",IF(N($V24)&lt;=0,0,($S24-N($U24))*MIN($AJ24,$V24)/$V24),IF($W24="Reducing balance",MIN(($S24-N($U24)),$S24-$S24*(1-N($AG24))^INT($AJ24/12)*(1-N($AG24)*MOD($AJ24,12)/12)),IF($W24="DDB",IF(N($V24)&lt;=0,0,MIN(($S24-N($U24)),$S24-$S24*(1-MIN(1,24/$V24))^INT($AJ24/12)*(1-MIN(1,24/$V24)*MOD($AJ24,12)/12))),IF($W24="SYD",IF(N($V24)&lt;=0,0,($S24-N($U24))*(INT(MIN($AJ24,$V24)/12)*(2*($V24/12)-INT(MIN($AJ24,$V24)/12)+1)/2+MOD(MIN($AJ24,$V24),12)/12*(($V24/12)-INT(MIN($AJ24,$V24)/12)))/(($V24/12)*(($V24/12)+1)/2)),0))))),2))</f>
        <v/>
      </c>
      <c r="Y24" s="23">
        <f>IF($X24="","",$S24-$X24)</f>
        <v/>
      </c>
      <c r="AD24" s="20" t="n"/>
      <c r="AG24" s="24" t="n"/>
      <c r="AH24" s="20" t="n"/>
      <c r="AI24" s="21" t="n"/>
      <c r="AJ24" s="25">
        <f>IF($R24="","",IF($R24&gt;IF($AH24&lt;&gt;"",MIN($AH24,Settings!$B$3),Settings!$B$3),0,(YEAR(IF($AH24&lt;&gt;"",MIN($AH24,Settings!$B$3),Settings!$B$3))-YEAR($R24))*12+MONTH(IF($AH24&lt;&gt;"",MIN($AH24,Settings!$B$3),Settings!$B$3))-MONTH($R24)+1))</f>
        <v/>
      </c>
      <c r="AK24" s="25">
        <f>IF($R24="","",IF($R24&gt;MIN(Settings!$B$4-1,IF($AH24&lt;&gt;"",MIN($AH24,Settings!$B$3),Settings!$B$3)),0,(YEAR(MIN(Settings!$B$4-1,IF($AH24&lt;&gt;"",MIN($AH24,Settings!$B$3),Settings!$B$3)))-YEAR($R24))*12+MONTH(MIN(Settings!$B$4-1,IF($AH24&lt;&gt;"",MIN($AH24,Settings!$B$3),Settings!$B$3)))-MONTH($R24)+1))</f>
        <v/>
      </c>
      <c r="AL24" s="23">
        <f>IF(OR($S24="",$R24=""),"",ROUND(MAX(0,IF($W24="Straight-line",IF(N($V24)&lt;=0,0,($S24-N($U24))*MIN($AK24,$V24)/$V24),IF($W24="Reducing balance",MIN(($S24-N($U24)),$S24-$S24*(1-N($AG24))^INT($AK24/12)*(1-N($AG24)*MOD($AK24,12)/12)),IF($W24="DDB",IF(N($V24)&lt;=0,0,MIN(($S24-N($U24)),$S24-$S24*(1-MIN(1,24/$V24))^INT($AK24/12)*(1-MIN(1,24/$V24)*MOD($AK24,12)/12))),IF($W24="SYD",IF(N($V24)&lt;=0,0,($S24-N($U24))*(INT(MIN($AK24,$V24)/12)*(2*($V24/12)-INT(MIN($AK24,$V24)/12)+1)/2+MOD(MIN($AK24,$V24),12)/12*(($V24/12)-INT(MIN($AK24,$V24)/12)))/(($V24/12)*(($V24/12)+1)/2)),0))))),2))</f>
        <v/>
      </c>
      <c r="AM24" s="23">
        <f>IF($X24="","",$X24-$AL24)</f>
        <v/>
      </c>
      <c r="AN24" s="23">
        <f>IF(OR($AH24="",$Y24=""),"",N($AI24)-$Y24)</f>
        <v/>
      </c>
    </row>
    <row r="25">
      <c r="Q25" s="20" t="n"/>
      <c r="R25" s="20" t="n"/>
      <c r="S25" s="21" t="n"/>
      <c r="U25" s="21" t="n"/>
      <c r="V25" s="22" t="n"/>
      <c r="X25" s="23">
        <f>IF(OR($S25="",$R25=""),"",ROUND(MAX(0,IF($W25="Straight-line",IF(N($V25)&lt;=0,0,($S25-N($U25))*MIN($AJ25,$V25)/$V25),IF($W25="Reducing balance",MIN(($S25-N($U25)),$S25-$S25*(1-N($AG25))^INT($AJ25/12)*(1-N($AG25)*MOD($AJ25,12)/12)),IF($W25="DDB",IF(N($V25)&lt;=0,0,MIN(($S25-N($U25)),$S25-$S25*(1-MIN(1,24/$V25))^INT($AJ25/12)*(1-MIN(1,24/$V25)*MOD($AJ25,12)/12))),IF($W25="SYD",IF(N($V25)&lt;=0,0,($S25-N($U25))*(INT(MIN($AJ25,$V25)/12)*(2*($V25/12)-INT(MIN($AJ25,$V25)/12)+1)/2+MOD(MIN($AJ25,$V25),12)/12*(($V25/12)-INT(MIN($AJ25,$V25)/12)))/(($V25/12)*(($V25/12)+1)/2)),0))))),2))</f>
        <v/>
      </c>
      <c r="Y25" s="23">
        <f>IF($X25="","",$S25-$X25)</f>
        <v/>
      </c>
      <c r="AD25" s="20" t="n"/>
      <c r="AG25" s="24" t="n"/>
      <c r="AH25" s="20" t="n"/>
      <c r="AI25" s="21" t="n"/>
      <c r="AJ25" s="25">
        <f>IF($R25="","",IF($R25&gt;IF($AH25&lt;&gt;"",MIN($AH25,Settings!$B$3),Settings!$B$3),0,(YEAR(IF($AH25&lt;&gt;"",MIN($AH25,Settings!$B$3),Settings!$B$3))-YEAR($R25))*12+MONTH(IF($AH25&lt;&gt;"",MIN($AH25,Settings!$B$3),Settings!$B$3))-MONTH($R25)+1))</f>
        <v/>
      </c>
      <c r="AK25" s="25">
        <f>IF($R25="","",IF($R25&gt;MIN(Settings!$B$4-1,IF($AH25&lt;&gt;"",MIN($AH25,Settings!$B$3),Settings!$B$3)),0,(YEAR(MIN(Settings!$B$4-1,IF($AH25&lt;&gt;"",MIN($AH25,Settings!$B$3),Settings!$B$3)))-YEAR($R25))*12+MONTH(MIN(Settings!$B$4-1,IF($AH25&lt;&gt;"",MIN($AH25,Settings!$B$3),Settings!$B$3)))-MONTH($R25)+1))</f>
        <v/>
      </c>
      <c r="AL25" s="23">
        <f>IF(OR($S25="",$R25=""),"",ROUND(MAX(0,IF($W25="Straight-line",IF(N($V25)&lt;=0,0,($S25-N($U25))*MIN($AK25,$V25)/$V25),IF($W25="Reducing balance",MIN(($S25-N($U25)),$S25-$S25*(1-N($AG25))^INT($AK25/12)*(1-N($AG25)*MOD($AK25,12)/12)),IF($W25="DDB",IF(N($V25)&lt;=0,0,MIN(($S25-N($U25)),$S25-$S25*(1-MIN(1,24/$V25))^INT($AK25/12)*(1-MIN(1,24/$V25)*MOD($AK25,12)/12))),IF($W25="SYD",IF(N($V25)&lt;=0,0,($S25-N($U25))*(INT(MIN($AK25,$V25)/12)*(2*($V25/12)-INT(MIN($AK25,$V25)/12)+1)/2+MOD(MIN($AK25,$V25),12)/12*(($V25/12)-INT(MIN($AK25,$V25)/12)))/(($V25/12)*(($V25/12)+1)/2)),0))))),2))</f>
        <v/>
      </c>
      <c r="AM25" s="23">
        <f>IF($X25="","",$X25-$AL25)</f>
        <v/>
      </c>
      <c r="AN25" s="23">
        <f>IF(OR($AH25="",$Y25=""),"",N($AI25)-$Y25)</f>
        <v/>
      </c>
    </row>
    <row r="26">
      <c r="Q26" s="20" t="n"/>
      <c r="R26" s="20" t="n"/>
      <c r="S26" s="21" t="n"/>
      <c r="U26" s="21" t="n"/>
      <c r="V26" s="22" t="n"/>
      <c r="X26" s="23">
        <f>IF(OR($S26="",$R26=""),"",ROUND(MAX(0,IF($W26="Straight-line",IF(N($V26)&lt;=0,0,($S26-N($U26))*MIN($AJ26,$V26)/$V26),IF($W26="Reducing balance",MIN(($S26-N($U26)),$S26-$S26*(1-N($AG26))^INT($AJ26/12)*(1-N($AG26)*MOD($AJ26,12)/12)),IF($W26="DDB",IF(N($V26)&lt;=0,0,MIN(($S26-N($U26)),$S26-$S26*(1-MIN(1,24/$V26))^INT($AJ26/12)*(1-MIN(1,24/$V26)*MOD($AJ26,12)/12))),IF($W26="SYD",IF(N($V26)&lt;=0,0,($S26-N($U26))*(INT(MIN($AJ26,$V26)/12)*(2*($V26/12)-INT(MIN($AJ26,$V26)/12)+1)/2+MOD(MIN($AJ26,$V26),12)/12*(($V26/12)-INT(MIN($AJ26,$V26)/12)))/(($V26/12)*(($V26/12)+1)/2)),0))))),2))</f>
        <v/>
      </c>
      <c r="Y26" s="23">
        <f>IF($X26="","",$S26-$X26)</f>
        <v/>
      </c>
      <c r="AD26" s="20" t="n"/>
      <c r="AG26" s="24" t="n"/>
      <c r="AH26" s="20" t="n"/>
      <c r="AI26" s="21" t="n"/>
      <c r="AJ26" s="25">
        <f>IF($R26="","",IF($R26&gt;IF($AH26&lt;&gt;"",MIN($AH26,Settings!$B$3),Settings!$B$3),0,(YEAR(IF($AH26&lt;&gt;"",MIN($AH26,Settings!$B$3),Settings!$B$3))-YEAR($R26))*12+MONTH(IF($AH26&lt;&gt;"",MIN($AH26,Settings!$B$3),Settings!$B$3))-MONTH($R26)+1))</f>
        <v/>
      </c>
      <c r="AK26" s="25">
        <f>IF($R26="","",IF($R26&gt;MIN(Settings!$B$4-1,IF($AH26&lt;&gt;"",MIN($AH26,Settings!$B$3),Settings!$B$3)),0,(YEAR(MIN(Settings!$B$4-1,IF($AH26&lt;&gt;"",MIN($AH26,Settings!$B$3),Settings!$B$3)))-YEAR($R26))*12+MONTH(MIN(Settings!$B$4-1,IF($AH26&lt;&gt;"",MIN($AH26,Settings!$B$3),Settings!$B$3)))-MONTH($R26)+1))</f>
        <v/>
      </c>
      <c r="AL26" s="23">
        <f>IF(OR($S26="",$R26=""),"",ROUND(MAX(0,IF($W26="Straight-line",IF(N($V26)&lt;=0,0,($S26-N($U26))*MIN($AK26,$V26)/$V26),IF($W26="Reducing balance",MIN(($S26-N($U26)),$S26-$S26*(1-N($AG26))^INT($AK26/12)*(1-N($AG26)*MOD($AK26,12)/12)),IF($W26="DDB",IF(N($V26)&lt;=0,0,MIN(($S26-N($U26)),$S26-$S26*(1-MIN(1,24/$V26))^INT($AK26/12)*(1-MIN(1,24/$V26)*MOD($AK26,12)/12))),IF($W26="SYD",IF(N($V26)&lt;=0,0,($S26-N($U26))*(INT(MIN($AK26,$V26)/12)*(2*($V26/12)-INT(MIN($AK26,$V26)/12)+1)/2+MOD(MIN($AK26,$V26),12)/12*(($V26/12)-INT(MIN($AK26,$V26)/12)))/(($V26/12)*(($V26/12)+1)/2)),0))))),2))</f>
        <v/>
      </c>
      <c r="AM26" s="23">
        <f>IF($X26="","",$X26-$AL26)</f>
        <v/>
      </c>
      <c r="AN26" s="23">
        <f>IF(OR($AH26="",$Y26=""),"",N($AI26)-$Y26)</f>
        <v/>
      </c>
    </row>
    <row r="27">
      <c r="Q27" s="20" t="n"/>
      <c r="R27" s="20" t="n"/>
      <c r="S27" s="21" t="n"/>
      <c r="U27" s="21" t="n"/>
      <c r="V27" s="22" t="n"/>
      <c r="X27" s="23">
        <f>IF(OR($S27="",$R27=""),"",ROUND(MAX(0,IF($W27="Straight-line",IF(N($V27)&lt;=0,0,($S27-N($U27))*MIN($AJ27,$V27)/$V27),IF($W27="Reducing balance",MIN(($S27-N($U27)),$S27-$S27*(1-N($AG27))^INT($AJ27/12)*(1-N($AG27)*MOD($AJ27,12)/12)),IF($W27="DDB",IF(N($V27)&lt;=0,0,MIN(($S27-N($U27)),$S27-$S27*(1-MIN(1,24/$V27))^INT($AJ27/12)*(1-MIN(1,24/$V27)*MOD($AJ27,12)/12))),IF($W27="SYD",IF(N($V27)&lt;=0,0,($S27-N($U27))*(INT(MIN($AJ27,$V27)/12)*(2*($V27/12)-INT(MIN($AJ27,$V27)/12)+1)/2+MOD(MIN($AJ27,$V27),12)/12*(($V27/12)-INT(MIN($AJ27,$V27)/12)))/(($V27/12)*(($V27/12)+1)/2)),0))))),2))</f>
        <v/>
      </c>
      <c r="Y27" s="23">
        <f>IF($X27="","",$S27-$X27)</f>
        <v/>
      </c>
      <c r="AD27" s="20" t="n"/>
      <c r="AG27" s="24" t="n"/>
      <c r="AH27" s="20" t="n"/>
      <c r="AI27" s="21" t="n"/>
      <c r="AJ27" s="25">
        <f>IF($R27="","",IF($R27&gt;IF($AH27&lt;&gt;"",MIN($AH27,Settings!$B$3),Settings!$B$3),0,(YEAR(IF($AH27&lt;&gt;"",MIN($AH27,Settings!$B$3),Settings!$B$3))-YEAR($R27))*12+MONTH(IF($AH27&lt;&gt;"",MIN($AH27,Settings!$B$3),Settings!$B$3))-MONTH($R27)+1))</f>
        <v/>
      </c>
      <c r="AK27" s="25">
        <f>IF($R27="","",IF($R27&gt;MIN(Settings!$B$4-1,IF($AH27&lt;&gt;"",MIN($AH27,Settings!$B$3),Settings!$B$3)),0,(YEAR(MIN(Settings!$B$4-1,IF($AH27&lt;&gt;"",MIN($AH27,Settings!$B$3),Settings!$B$3)))-YEAR($R27))*12+MONTH(MIN(Settings!$B$4-1,IF($AH27&lt;&gt;"",MIN($AH27,Settings!$B$3),Settings!$B$3)))-MONTH($R27)+1))</f>
        <v/>
      </c>
      <c r="AL27" s="23">
        <f>IF(OR($S27="",$R27=""),"",ROUND(MAX(0,IF($W27="Straight-line",IF(N($V27)&lt;=0,0,($S27-N($U27))*MIN($AK27,$V27)/$V27),IF($W27="Reducing balance",MIN(($S27-N($U27)),$S27-$S27*(1-N($AG27))^INT($AK27/12)*(1-N($AG27)*MOD($AK27,12)/12)),IF($W27="DDB",IF(N($V27)&lt;=0,0,MIN(($S27-N($U27)),$S27-$S27*(1-MIN(1,24/$V27))^INT($AK27/12)*(1-MIN(1,24/$V27)*MOD($AK27,12)/12))),IF($W27="SYD",IF(N($V27)&lt;=0,0,($S27-N($U27))*(INT(MIN($AK27,$V27)/12)*(2*($V27/12)-INT(MIN($AK27,$V27)/12)+1)/2+MOD(MIN($AK27,$V27),12)/12*(($V27/12)-INT(MIN($AK27,$V27)/12)))/(($V27/12)*(($V27/12)+1)/2)),0))))),2))</f>
        <v/>
      </c>
      <c r="AM27" s="23">
        <f>IF($X27="","",$X27-$AL27)</f>
        <v/>
      </c>
      <c r="AN27" s="23">
        <f>IF(OR($AH27="",$Y27=""),"",N($AI27)-$Y27)</f>
        <v/>
      </c>
    </row>
    <row r="28">
      <c r="Q28" s="20" t="n"/>
      <c r="R28" s="20" t="n"/>
      <c r="S28" s="21" t="n"/>
      <c r="U28" s="21" t="n"/>
      <c r="V28" s="22" t="n"/>
      <c r="X28" s="23">
        <f>IF(OR($S28="",$R28=""),"",ROUND(MAX(0,IF($W28="Straight-line",IF(N($V28)&lt;=0,0,($S28-N($U28))*MIN($AJ28,$V28)/$V28),IF($W28="Reducing balance",MIN(($S28-N($U28)),$S28-$S28*(1-N($AG28))^INT($AJ28/12)*(1-N($AG28)*MOD($AJ28,12)/12)),IF($W28="DDB",IF(N($V28)&lt;=0,0,MIN(($S28-N($U28)),$S28-$S28*(1-MIN(1,24/$V28))^INT($AJ28/12)*(1-MIN(1,24/$V28)*MOD($AJ28,12)/12))),IF($W28="SYD",IF(N($V28)&lt;=0,0,($S28-N($U28))*(INT(MIN($AJ28,$V28)/12)*(2*($V28/12)-INT(MIN($AJ28,$V28)/12)+1)/2+MOD(MIN($AJ28,$V28),12)/12*(($V28/12)-INT(MIN($AJ28,$V28)/12)))/(($V28/12)*(($V28/12)+1)/2)),0))))),2))</f>
        <v/>
      </c>
      <c r="Y28" s="23">
        <f>IF($X28="","",$S28-$X28)</f>
        <v/>
      </c>
      <c r="AD28" s="20" t="n"/>
      <c r="AG28" s="24" t="n"/>
      <c r="AH28" s="20" t="n"/>
      <c r="AI28" s="21" t="n"/>
      <c r="AJ28" s="25">
        <f>IF($R28="","",IF($R28&gt;IF($AH28&lt;&gt;"",MIN($AH28,Settings!$B$3),Settings!$B$3),0,(YEAR(IF($AH28&lt;&gt;"",MIN($AH28,Settings!$B$3),Settings!$B$3))-YEAR($R28))*12+MONTH(IF($AH28&lt;&gt;"",MIN($AH28,Settings!$B$3),Settings!$B$3))-MONTH($R28)+1))</f>
        <v/>
      </c>
      <c r="AK28" s="25">
        <f>IF($R28="","",IF($R28&gt;MIN(Settings!$B$4-1,IF($AH28&lt;&gt;"",MIN($AH28,Settings!$B$3),Settings!$B$3)),0,(YEAR(MIN(Settings!$B$4-1,IF($AH28&lt;&gt;"",MIN($AH28,Settings!$B$3),Settings!$B$3)))-YEAR($R28))*12+MONTH(MIN(Settings!$B$4-1,IF($AH28&lt;&gt;"",MIN($AH28,Settings!$B$3),Settings!$B$3)))-MONTH($R28)+1))</f>
        <v/>
      </c>
      <c r="AL28" s="23">
        <f>IF(OR($S28="",$R28=""),"",ROUND(MAX(0,IF($W28="Straight-line",IF(N($V28)&lt;=0,0,($S28-N($U28))*MIN($AK28,$V28)/$V28),IF($W28="Reducing balance",MIN(($S28-N($U28)),$S28-$S28*(1-N($AG28))^INT($AK28/12)*(1-N($AG28)*MOD($AK28,12)/12)),IF($W28="DDB",IF(N($V28)&lt;=0,0,MIN(($S28-N($U28)),$S28-$S28*(1-MIN(1,24/$V28))^INT($AK28/12)*(1-MIN(1,24/$V28)*MOD($AK28,12)/12))),IF($W28="SYD",IF(N($V28)&lt;=0,0,($S28-N($U28))*(INT(MIN($AK28,$V28)/12)*(2*($V28/12)-INT(MIN($AK28,$V28)/12)+1)/2+MOD(MIN($AK28,$V28),12)/12*(($V28/12)-INT(MIN($AK28,$V28)/12)))/(($V28/12)*(($V28/12)+1)/2)),0))))),2))</f>
        <v/>
      </c>
      <c r="AM28" s="23">
        <f>IF($X28="","",$X28-$AL28)</f>
        <v/>
      </c>
      <c r="AN28" s="23">
        <f>IF(OR($AH28="",$Y28=""),"",N($AI28)-$Y28)</f>
        <v/>
      </c>
    </row>
    <row r="29">
      <c r="Q29" s="20" t="n"/>
      <c r="R29" s="20" t="n"/>
      <c r="S29" s="21" t="n"/>
      <c r="U29" s="21" t="n"/>
      <c r="V29" s="22" t="n"/>
      <c r="X29" s="23">
        <f>IF(OR($S29="",$R29=""),"",ROUND(MAX(0,IF($W29="Straight-line",IF(N($V29)&lt;=0,0,($S29-N($U29))*MIN($AJ29,$V29)/$V29),IF($W29="Reducing balance",MIN(($S29-N($U29)),$S29-$S29*(1-N($AG29))^INT($AJ29/12)*(1-N($AG29)*MOD($AJ29,12)/12)),IF($W29="DDB",IF(N($V29)&lt;=0,0,MIN(($S29-N($U29)),$S29-$S29*(1-MIN(1,24/$V29))^INT($AJ29/12)*(1-MIN(1,24/$V29)*MOD($AJ29,12)/12))),IF($W29="SYD",IF(N($V29)&lt;=0,0,($S29-N($U29))*(INT(MIN($AJ29,$V29)/12)*(2*($V29/12)-INT(MIN($AJ29,$V29)/12)+1)/2+MOD(MIN($AJ29,$V29),12)/12*(($V29/12)-INT(MIN($AJ29,$V29)/12)))/(($V29/12)*(($V29/12)+1)/2)),0))))),2))</f>
        <v/>
      </c>
      <c r="Y29" s="23">
        <f>IF($X29="","",$S29-$X29)</f>
        <v/>
      </c>
      <c r="AD29" s="20" t="n"/>
      <c r="AG29" s="24" t="n"/>
      <c r="AH29" s="20" t="n"/>
      <c r="AI29" s="21" t="n"/>
      <c r="AJ29" s="25">
        <f>IF($R29="","",IF($R29&gt;IF($AH29&lt;&gt;"",MIN($AH29,Settings!$B$3),Settings!$B$3),0,(YEAR(IF($AH29&lt;&gt;"",MIN($AH29,Settings!$B$3),Settings!$B$3))-YEAR($R29))*12+MONTH(IF($AH29&lt;&gt;"",MIN($AH29,Settings!$B$3),Settings!$B$3))-MONTH($R29)+1))</f>
        <v/>
      </c>
      <c r="AK29" s="25">
        <f>IF($R29="","",IF($R29&gt;MIN(Settings!$B$4-1,IF($AH29&lt;&gt;"",MIN($AH29,Settings!$B$3),Settings!$B$3)),0,(YEAR(MIN(Settings!$B$4-1,IF($AH29&lt;&gt;"",MIN($AH29,Settings!$B$3),Settings!$B$3)))-YEAR($R29))*12+MONTH(MIN(Settings!$B$4-1,IF($AH29&lt;&gt;"",MIN($AH29,Settings!$B$3),Settings!$B$3)))-MONTH($R29)+1))</f>
        <v/>
      </c>
      <c r="AL29" s="23">
        <f>IF(OR($S29="",$R29=""),"",ROUND(MAX(0,IF($W29="Straight-line",IF(N($V29)&lt;=0,0,($S29-N($U29))*MIN($AK29,$V29)/$V29),IF($W29="Reducing balance",MIN(($S29-N($U29)),$S29-$S29*(1-N($AG29))^INT($AK29/12)*(1-N($AG29)*MOD($AK29,12)/12)),IF($W29="DDB",IF(N($V29)&lt;=0,0,MIN(($S29-N($U29)),$S29-$S29*(1-MIN(1,24/$V29))^INT($AK29/12)*(1-MIN(1,24/$V29)*MOD($AK29,12)/12))),IF($W29="SYD",IF(N($V29)&lt;=0,0,($S29-N($U29))*(INT(MIN($AK29,$V29)/12)*(2*($V29/12)-INT(MIN($AK29,$V29)/12)+1)/2+MOD(MIN($AK29,$V29),12)/12*(($V29/12)-INT(MIN($AK29,$V29)/12)))/(($V29/12)*(($V29/12)+1)/2)),0))))),2))</f>
        <v/>
      </c>
      <c r="AM29" s="23">
        <f>IF($X29="","",$X29-$AL29)</f>
        <v/>
      </c>
      <c r="AN29" s="23">
        <f>IF(OR($AH29="",$Y29=""),"",N($AI29)-$Y29)</f>
        <v/>
      </c>
    </row>
    <row r="30">
      <c r="Q30" s="20" t="n"/>
      <c r="R30" s="20" t="n"/>
      <c r="S30" s="21" t="n"/>
      <c r="U30" s="21" t="n"/>
      <c r="V30" s="22" t="n"/>
      <c r="X30" s="23">
        <f>IF(OR($S30="",$R30=""),"",ROUND(MAX(0,IF($W30="Straight-line",IF(N($V30)&lt;=0,0,($S30-N($U30))*MIN($AJ30,$V30)/$V30),IF($W30="Reducing balance",MIN(($S30-N($U30)),$S30-$S30*(1-N($AG30))^INT($AJ30/12)*(1-N($AG30)*MOD($AJ30,12)/12)),IF($W30="DDB",IF(N($V30)&lt;=0,0,MIN(($S30-N($U30)),$S30-$S30*(1-MIN(1,24/$V30))^INT($AJ30/12)*(1-MIN(1,24/$V30)*MOD($AJ30,12)/12))),IF($W30="SYD",IF(N($V30)&lt;=0,0,($S30-N($U30))*(INT(MIN($AJ30,$V30)/12)*(2*($V30/12)-INT(MIN($AJ30,$V30)/12)+1)/2+MOD(MIN($AJ30,$V30),12)/12*(($V30/12)-INT(MIN($AJ30,$V30)/12)))/(($V30/12)*(($V30/12)+1)/2)),0))))),2))</f>
        <v/>
      </c>
      <c r="Y30" s="23">
        <f>IF($X30="","",$S30-$X30)</f>
        <v/>
      </c>
      <c r="AD30" s="20" t="n"/>
      <c r="AG30" s="24" t="n"/>
      <c r="AH30" s="20" t="n"/>
      <c r="AI30" s="21" t="n"/>
      <c r="AJ30" s="25">
        <f>IF($R30="","",IF($R30&gt;IF($AH30&lt;&gt;"",MIN($AH30,Settings!$B$3),Settings!$B$3),0,(YEAR(IF($AH30&lt;&gt;"",MIN($AH30,Settings!$B$3),Settings!$B$3))-YEAR($R30))*12+MONTH(IF($AH30&lt;&gt;"",MIN($AH30,Settings!$B$3),Settings!$B$3))-MONTH($R30)+1))</f>
        <v/>
      </c>
      <c r="AK30" s="25">
        <f>IF($R30="","",IF($R30&gt;MIN(Settings!$B$4-1,IF($AH30&lt;&gt;"",MIN($AH30,Settings!$B$3),Settings!$B$3)),0,(YEAR(MIN(Settings!$B$4-1,IF($AH30&lt;&gt;"",MIN($AH30,Settings!$B$3),Settings!$B$3)))-YEAR($R30))*12+MONTH(MIN(Settings!$B$4-1,IF($AH30&lt;&gt;"",MIN($AH30,Settings!$B$3),Settings!$B$3)))-MONTH($R30)+1))</f>
        <v/>
      </c>
      <c r="AL30" s="23">
        <f>IF(OR($S30="",$R30=""),"",ROUND(MAX(0,IF($W30="Straight-line",IF(N($V30)&lt;=0,0,($S30-N($U30))*MIN($AK30,$V30)/$V30),IF($W30="Reducing balance",MIN(($S30-N($U30)),$S30-$S30*(1-N($AG30))^INT($AK30/12)*(1-N($AG30)*MOD($AK30,12)/12)),IF($W30="DDB",IF(N($V30)&lt;=0,0,MIN(($S30-N($U30)),$S30-$S30*(1-MIN(1,24/$V30))^INT($AK30/12)*(1-MIN(1,24/$V30)*MOD($AK30,12)/12))),IF($W30="SYD",IF(N($V30)&lt;=0,0,($S30-N($U30))*(INT(MIN($AK30,$V30)/12)*(2*($V30/12)-INT(MIN($AK30,$V30)/12)+1)/2+MOD(MIN($AK30,$V30),12)/12*(($V30/12)-INT(MIN($AK30,$V30)/12)))/(($V30/12)*(($V30/12)+1)/2)),0))))),2))</f>
        <v/>
      </c>
      <c r="AM30" s="23">
        <f>IF($X30="","",$X30-$AL30)</f>
        <v/>
      </c>
      <c r="AN30" s="23">
        <f>IF(OR($AH30="",$Y30=""),"",N($AI30)-$Y30)</f>
        <v/>
      </c>
    </row>
    <row r="31">
      <c r="Q31" s="20" t="n"/>
      <c r="R31" s="20" t="n"/>
      <c r="S31" s="21" t="n"/>
      <c r="U31" s="21" t="n"/>
      <c r="V31" s="22" t="n"/>
      <c r="X31" s="23">
        <f>IF(OR($S31="",$R31=""),"",ROUND(MAX(0,IF($W31="Straight-line",IF(N($V31)&lt;=0,0,($S31-N($U31))*MIN($AJ31,$V31)/$V31),IF($W31="Reducing balance",MIN(($S31-N($U31)),$S31-$S31*(1-N($AG31))^INT($AJ31/12)*(1-N($AG31)*MOD($AJ31,12)/12)),IF($W31="DDB",IF(N($V31)&lt;=0,0,MIN(($S31-N($U31)),$S31-$S31*(1-MIN(1,24/$V31))^INT($AJ31/12)*(1-MIN(1,24/$V31)*MOD($AJ31,12)/12))),IF($W31="SYD",IF(N($V31)&lt;=0,0,($S31-N($U31))*(INT(MIN($AJ31,$V31)/12)*(2*($V31/12)-INT(MIN($AJ31,$V31)/12)+1)/2+MOD(MIN($AJ31,$V31),12)/12*(($V31/12)-INT(MIN($AJ31,$V31)/12)))/(($V31/12)*(($V31/12)+1)/2)),0))))),2))</f>
        <v/>
      </c>
      <c r="Y31" s="23">
        <f>IF($X31="","",$S31-$X31)</f>
        <v/>
      </c>
      <c r="AD31" s="20" t="n"/>
      <c r="AG31" s="24" t="n"/>
      <c r="AH31" s="20" t="n"/>
      <c r="AI31" s="21" t="n"/>
      <c r="AJ31" s="25">
        <f>IF($R31="","",IF($R31&gt;IF($AH31&lt;&gt;"",MIN($AH31,Settings!$B$3),Settings!$B$3),0,(YEAR(IF($AH31&lt;&gt;"",MIN($AH31,Settings!$B$3),Settings!$B$3))-YEAR($R31))*12+MONTH(IF($AH31&lt;&gt;"",MIN($AH31,Settings!$B$3),Settings!$B$3))-MONTH($R31)+1))</f>
        <v/>
      </c>
      <c r="AK31" s="25">
        <f>IF($R31="","",IF($R31&gt;MIN(Settings!$B$4-1,IF($AH31&lt;&gt;"",MIN($AH31,Settings!$B$3),Settings!$B$3)),0,(YEAR(MIN(Settings!$B$4-1,IF($AH31&lt;&gt;"",MIN($AH31,Settings!$B$3),Settings!$B$3)))-YEAR($R31))*12+MONTH(MIN(Settings!$B$4-1,IF($AH31&lt;&gt;"",MIN($AH31,Settings!$B$3),Settings!$B$3)))-MONTH($R31)+1))</f>
        <v/>
      </c>
      <c r="AL31" s="23">
        <f>IF(OR($S31="",$R31=""),"",ROUND(MAX(0,IF($W31="Straight-line",IF(N($V31)&lt;=0,0,($S31-N($U31))*MIN($AK31,$V31)/$V31),IF($W31="Reducing balance",MIN(($S31-N($U31)),$S31-$S31*(1-N($AG31))^INT($AK31/12)*(1-N($AG31)*MOD($AK31,12)/12)),IF($W31="DDB",IF(N($V31)&lt;=0,0,MIN(($S31-N($U31)),$S31-$S31*(1-MIN(1,24/$V31))^INT($AK31/12)*(1-MIN(1,24/$V31)*MOD($AK31,12)/12))),IF($W31="SYD",IF(N($V31)&lt;=0,0,($S31-N($U31))*(INT(MIN($AK31,$V31)/12)*(2*($V31/12)-INT(MIN($AK31,$V31)/12)+1)/2+MOD(MIN($AK31,$V31),12)/12*(($V31/12)-INT(MIN($AK31,$V31)/12)))/(($V31/12)*(($V31/12)+1)/2)),0))))),2))</f>
        <v/>
      </c>
      <c r="AM31" s="23">
        <f>IF($X31="","",$X31-$AL31)</f>
        <v/>
      </c>
      <c r="AN31" s="23">
        <f>IF(OR($AH31="",$Y31=""),"",N($AI31)-$Y31)</f>
        <v/>
      </c>
    </row>
    <row r="32">
      <c r="Q32" s="20" t="n"/>
      <c r="R32" s="20" t="n"/>
      <c r="S32" s="21" t="n"/>
      <c r="U32" s="21" t="n"/>
      <c r="V32" s="22" t="n"/>
      <c r="X32" s="23">
        <f>IF(OR($S32="",$R32=""),"",ROUND(MAX(0,IF($W32="Straight-line",IF(N($V32)&lt;=0,0,($S32-N($U32))*MIN($AJ32,$V32)/$V32),IF($W32="Reducing balance",MIN(($S32-N($U32)),$S32-$S32*(1-N($AG32))^INT($AJ32/12)*(1-N($AG32)*MOD($AJ32,12)/12)),IF($W32="DDB",IF(N($V32)&lt;=0,0,MIN(($S32-N($U32)),$S32-$S32*(1-MIN(1,24/$V32))^INT($AJ32/12)*(1-MIN(1,24/$V32)*MOD($AJ32,12)/12))),IF($W32="SYD",IF(N($V32)&lt;=0,0,($S32-N($U32))*(INT(MIN($AJ32,$V32)/12)*(2*($V32/12)-INT(MIN($AJ32,$V32)/12)+1)/2+MOD(MIN($AJ32,$V32),12)/12*(($V32/12)-INT(MIN($AJ32,$V32)/12)))/(($V32/12)*(($V32/12)+1)/2)),0))))),2))</f>
        <v/>
      </c>
      <c r="Y32" s="23">
        <f>IF($X32="","",$S32-$X32)</f>
        <v/>
      </c>
      <c r="AD32" s="20" t="n"/>
      <c r="AG32" s="24" t="n"/>
      <c r="AH32" s="20" t="n"/>
      <c r="AI32" s="21" t="n"/>
      <c r="AJ32" s="25">
        <f>IF($R32="","",IF($R32&gt;IF($AH32&lt;&gt;"",MIN($AH32,Settings!$B$3),Settings!$B$3),0,(YEAR(IF($AH32&lt;&gt;"",MIN($AH32,Settings!$B$3),Settings!$B$3))-YEAR($R32))*12+MONTH(IF($AH32&lt;&gt;"",MIN($AH32,Settings!$B$3),Settings!$B$3))-MONTH($R32)+1))</f>
        <v/>
      </c>
      <c r="AK32" s="25">
        <f>IF($R32="","",IF($R32&gt;MIN(Settings!$B$4-1,IF($AH32&lt;&gt;"",MIN($AH32,Settings!$B$3),Settings!$B$3)),0,(YEAR(MIN(Settings!$B$4-1,IF($AH32&lt;&gt;"",MIN($AH32,Settings!$B$3),Settings!$B$3)))-YEAR($R32))*12+MONTH(MIN(Settings!$B$4-1,IF($AH32&lt;&gt;"",MIN($AH32,Settings!$B$3),Settings!$B$3)))-MONTH($R32)+1))</f>
        <v/>
      </c>
      <c r="AL32" s="23">
        <f>IF(OR($S32="",$R32=""),"",ROUND(MAX(0,IF($W32="Straight-line",IF(N($V32)&lt;=0,0,($S32-N($U32))*MIN($AK32,$V32)/$V32),IF($W32="Reducing balance",MIN(($S32-N($U32)),$S32-$S32*(1-N($AG32))^INT($AK32/12)*(1-N($AG32)*MOD($AK32,12)/12)),IF($W32="DDB",IF(N($V32)&lt;=0,0,MIN(($S32-N($U32)),$S32-$S32*(1-MIN(1,24/$V32))^INT($AK32/12)*(1-MIN(1,24/$V32)*MOD($AK32,12)/12))),IF($W32="SYD",IF(N($V32)&lt;=0,0,($S32-N($U32))*(INT(MIN($AK32,$V32)/12)*(2*($V32/12)-INT(MIN($AK32,$V32)/12)+1)/2+MOD(MIN($AK32,$V32),12)/12*(($V32/12)-INT(MIN($AK32,$V32)/12)))/(($V32/12)*(($V32/12)+1)/2)),0))))),2))</f>
        <v/>
      </c>
      <c r="AM32" s="23">
        <f>IF($X32="","",$X32-$AL32)</f>
        <v/>
      </c>
      <c r="AN32" s="23">
        <f>IF(OR($AH32="",$Y32=""),"",N($AI32)-$Y32)</f>
        <v/>
      </c>
    </row>
    <row r="33">
      <c r="Q33" s="20" t="n"/>
      <c r="R33" s="20" t="n"/>
      <c r="S33" s="21" t="n"/>
      <c r="U33" s="21" t="n"/>
      <c r="V33" s="22" t="n"/>
      <c r="X33" s="23">
        <f>IF(OR($S33="",$R33=""),"",ROUND(MAX(0,IF($W33="Straight-line",IF(N($V33)&lt;=0,0,($S33-N($U33))*MIN($AJ33,$V33)/$V33),IF($W33="Reducing balance",MIN(($S33-N($U33)),$S33-$S33*(1-N($AG33))^INT($AJ33/12)*(1-N($AG33)*MOD($AJ33,12)/12)),IF($W33="DDB",IF(N($V33)&lt;=0,0,MIN(($S33-N($U33)),$S33-$S33*(1-MIN(1,24/$V33))^INT($AJ33/12)*(1-MIN(1,24/$V33)*MOD($AJ33,12)/12))),IF($W33="SYD",IF(N($V33)&lt;=0,0,($S33-N($U33))*(INT(MIN($AJ33,$V33)/12)*(2*($V33/12)-INT(MIN($AJ33,$V33)/12)+1)/2+MOD(MIN($AJ33,$V33),12)/12*(($V33/12)-INT(MIN($AJ33,$V33)/12)))/(($V33/12)*(($V33/12)+1)/2)),0))))),2))</f>
        <v/>
      </c>
      <c r="Y33" s="23">
        <f>IF($X33="","",$S33-$X33)</f>
        <v/>
      </c>
      <c r="AD33" s="20" t="n"/>
      <c r="AG33" s="24" t="n"/>
      <c r="AH33" s="20" t="n"/>
      <c r="AI33" s="21" t="n"/>
      <c r="AJ33" s="25">
        <f>IF($R33="","",IF($R33&gt;IF($AH33&lt;&gt;"",MIN($AH33,Settings!$B$3),Settings!$B$3),0,(YEAR(IF($AH33&lt;&gt;"",MIN($AH33,Settings!$B$3),Settings!$B$3))-YEAR($R33))*12+MONTH(IF($AH33&lt;&gt;"",MIN($AH33,Settings!$B$3),Settings!$B$3))-MONTH($R33)+1))</f>
        <v/>
      </c>
      <c r="AK33" s="25">
        <f>IF($R33="","",IF($R33&gt;MIN(Settings!$B$4-1,IF($AH33&lt;&gt;"",MIN($AH33,Settings!$B$3),Settings!$B$3)),0,(YEAR(MIN(Settings!$B$4-1,IF($AH33&lt;&gt;"",MIN($AH33,Settings!$B$3),Settings!$B$3)))-YEAR($R33))*12+MONTH(MIN(Settings!$B$4-1,IF($AH33&lt;&gt;"",MIN($AH33,Settings!$B$3),Settings!$B$3)))-MONTH($R33)+1))</f>
        <v/>
      </c>
      <c r="AL33" s="23">
        <f>IF(OR($S33="",$R33=""),"",ROUND(MAX(0,IF($W33="Straight-line",IF(N($V33)&lt;=0,0,($S33-N($U33))*MIN($AK33,$V33)/$V33),IF($W33="Reducing balance",MIN(($S33-N($U33)),$S33-$S33*(1-N($AG33))^INT($AK33/12)*(1-N($AG33)*MOD($AK33,12)/12)),IF($W33="DDB",IF(N($V33)&lt;=0,0,MIN(($S33-N($U33)),$S33-$S33*(1-MIN(1,24/$V33))^INT($AK33/12)*(1-MIN(1,24/$V33)*MOD($AK33,12)/12))),IF($W33="SYD",IF(N($V33)&lt;=0,0,($S33-N($U33))*(INT(MIN($AK33,$V33)/12)*(2*($V33/12)-INT(MIN($AK33,$V33)/12)+1)/2+MOD(MIN($AK33,$V33),12)/12*(($V33/12)-INT(MIN($AK33,$V33)/12)))/(($V33/12)*(($V33/12)+1)/2)),0))))),2))</f>
        <v/>
      </c>
      <c r="AM33" s="23">
        <f>IF($X33="","",$X33-$AL33)</f>
        <v/>
      </c>
      <c r="AN33" s="23">
        <f>IF(OR($AH33="",$Y33=""),"",N($AI33)-$Y33)</f>
        <v/>
      </c>
    </row>
    <row r="34">
      <c r="Q34" s="20" t="n"/>
      <c r="R34" s="20" t="n"/>
      <c r="S34" s="21" t="n"/>
      <c r="U34" s="21" t="n"/>
      <c r="V34" s="22" t="n"/>
      <c r="X34" s="23">
        <f>IF(OR($S34="",$R34=""),"",ROUND(MAX(0,IF($W34="Straight-line",IF(N($V34)&lt;=0,0,($S34-N($U34))*MIN($AJ34,$V34)/$V34),IF($W34="Reducing balance",MIN(($S34-N($U34)),$S34-$S34*(1-N($AG34))^INT($AJ34/12)*(1-N($AG34)*MOD($AJ34,12)/12)),IF($W34="DDB",IF(N($V34)&lt;=0,0,MIN(($S34-N($U34)),$S34-$S34*(1-MIN(1,24/$V34))^INT($AJ34/12)*(1-MIN(1,24/$V34)*MOD($AJ34,12)/12))),IF($W34="SYD",IF(N($V34)&lt;=0,0,($S34-N($U34))*(INT(MIN($AJ34,$V34)/12)*(2*($V34/12)-INT(MIN($AJ34,$V34)/12)+1)/2+MOD(MIN($AJ34,$V34),12)/12*(($V34/12)-INT(MIN($AJ34,$V34)/12)))/(($V34/12)*(($V34/12)+1)/2)),0))))),2))</f>
        <v/>
      </c>
      <c r="Y34" s="23">
        <f>IF($X34="","",$S34-$X34)</f>
        <v/>
      </c>
      <c r="AD34" s="20" t="n"/>
      <c r="AG34" s="24" t="n"/>
      <c r="AH34" s="20" t="n"/>
      <c r="AI34" s="21" t="n"/>
      <c r="AJ34" s="25">
        <f>IF($R34="","",IF($R34&gt;IF($AH34&lt;&gt;"",MIN($AH34,Settings!$B$3),Settings!$B$3),0,(YEAR(IF($AH34&lt;&gt;"",MIN($AH34,Settings!$B$3),Settings!$B$3))-YEAR($R34))*12+MONTH(IF($AH34&lt;&gt;"",MIN($AH34,Settings!$B$3),Settings!$B$3))-MONTH($R34)+1))</f>
        <v/>
      </c>
      <c r="AK34" s="25">
        <f>IF($R34="","",IF($R34&gt;MIN(Settings!$B$4-1,IF($AH34&lt;&gt;"",MIN($AH34,Settings!$B$3),Settings!$B$3)),0,(YEAR(MIN(Settings!$B$4-1,IF($AH34&lt;&gt;"",MIN($AH34,Settings!$B$3),Settings!$B$3)))-YEAR($R34))*12+MONTH(MIN(Settings!$B$4-1,IF($AH34&lt;&gt;"",MIN($AH34,Settings!$B$3),Settings!$B$3)))-MONTH($R34)+1))</f>
        <v/>
      </c>
      <c r="AL34" s="23">
        <f>IF(OR($S34="",$R34=""),"",ROUND(MAX(0,IF($W34="Straight-line",IF(N($V34)&lt;=0,0,($S34-N($U34))*MIN($AK34,$V34)/$V34),IF($W34="Reducing balance",MIN(($S34-N($U34)),$S34-$S34*(1-N($AG34))^INT($AK34/12)*(1-N($AG34)*MOD($AK34,12)/12)),IF($W34="DDB",IF(N($V34)&lt;=0,0,MIN(($S34-N($U34)),$S34-$S34*(1-MIN(1,24/$V34))^INT($AK34/12)*(1-MIN(1,24/$V34)*MOD($AK34,12)/12))),IF($W34="SYD",IF(N($V34)&lt;=0,0,($S34-N($U34))*(INT(MIN($AK34,$V34)/12)*(2*($V34/12)-INT(MIN($AK34,$V34)/12)+1)/2+MOD(MIN($AK34,$V34),12)/12*(($V34/12)-INT(MIN($AK34,$V34)/12)))/(($V34/12)*(($V34/12)+1)/2)),0))))),2))</f>
        <v/>
      </c>
      <c r="AM34" s="23">
        <f>IF($X34="","",$X34-$AL34)</f>
        <v/>
      </c>
      <c r="AN34" s="23">
        <f>IF(OR($AH34="",$Y34=""),"",N($AI34)-$Y34)</f>
        <v/>
      </c>
    </row>
    <row r="35">
      <c r="Q35" s="20" t="n"/>
      <c r="R35" s="20" t="n"/>
      <c r="S35" s="21" t="n"/>
      <c r="U35" s="21" t="n"/>
      <c r="V35" s="22" t="n"/>
      <c r="X35" s="23">
        <f>IF(OR($S35="",$R35=""),"",ROUND(MAX(0,IF($W35="Straight-line",IF(N($V35)&lt;=0,0,($S35-N($U35))*MIN($AJ35,$V35)/$V35),IF($W35="Reducing balance",MIN(($S35-N($U35)),$S35-$S35*(1-N($AG35))^INT($AJ35/12)*(1-N($AG35)*MOD($AJ35,12)/12)),IF($W35="DDB",IF(N($V35)&lt;=0,0,MIN(($S35-N($U35)),$S35-$S35*(1-MIN(1,24/$V35))^INT($AJ35/12)*(1-MIN(1,24/$V35)*MOD($AJ35,12)/12))),IF($W35="SYD",IF(N($V35)&lt;=0,0,($S35-N($U35))*(INT(MIN($AJ35,$V35)/12)*(2*($V35/12)-INT(MIN($AJ35,$V35)/12)+1)/2+MOD(MIN($AJ35,$V35),12)/12*(($V35/12)-INT(MIN($AJ35,$V35)/12)))/(($V35/12)*(($V35/12)+1)/2)),0))))),2))</f>
        <v/>
      </c>
      <c r="Y35" s="23">
        <f>IF($X35="","",$S35-$X35)</f>
        <v/>
      </c>
      <c r="AD35" s="20" t="n"/>
      <c r="AG35" s="24" t="n"/>
      <c r="AH35" s="20" t="n"/>
      <c r="AI35" s="21" t="n"/>
      <c r="AJ35" s="25">
        <f>IF($R35="","",IF($R35&gt;IF($AH35&lt;&gt;"",MIN($AH35,Settings!$B$3),Settings!$B$3),0,(YEAR(IF($AH35&lt;&gt;"",MIN($AH35,Settings!$B$3),Settings!$B$3))-YEAR($R35))*12+MONTH(IF($AH35&lt;&gt;"",MIN($AH35,Settings!$B$3),Settings!$B$3))-MONTH($R35)+1))</f>
        <v/>
      </c>
      <c r="AK35" s="25">
        <f>IF($R35="","",IF($R35&gt;MIN(Settings!$B$4-1,IF($AH35&lt;&gt;"",MIN($AH35,Settings!$B$3),Settings!$B$3)),0,(YEAR(MIN(Settings!$B$4-1,IF($AH35&lt;&gt;"",MIN($AH35,Settings!$B$3),Settings!$B$3)))-YEAR($R35))*12+MONTH(MIN(Settings!$B$4-1,IF($AH35&lt;&gt;"",MIN($AH35,Settings!$B$3),Settings!$B$3)))-MONTH($R35)+1))</f>
        <v/>
      </c>
      <c r="AL35" s="23">
        <f>IF(OR($S35="",$R35=""),"",ROUND(MAX(0,IF($W35="Straight-line",IF(N($V35)&lt;=0,0,($S35-N($U35))*MIN($AK35,$V35)/$V35),IF($W35="Reducing balance",MIN(($S35-N($U35)),$S35-$S35*(1-N($AG35))^INT($AK35/12)*(1-N($AG35)*MOD($AK35,12)/12)),IF($W35="DDB",IF(N($V35)&lt;=0,0,MIN(($S35-N($U35)),$S35-$S35*(1-MIN(1,24/$V35))^INT($AK35/12)*(1-MIN(1,24/$V35)*MOD($AK35,12)/12))),IF($W35="SYD",IF(N($V35)&lt;=0,0,($S35-N($U35))*(INT(MIN($AK35,$V35)/12)*(2*($V35/12)-INT(MIN($AK35,$V35)/12)+1)/2+MOD(MIN($AK35,$V35),12)/12*(($V35/12)-INT(MIN($AK35,$V35)/12)))/(($V35/12)*(($V35/12)+1)/2)),0))))),2))</f>
        <v/>
      </c>
      <c r="AM35" s="23">
        <f>IF($X35="","",$X35-$AL35)</f>
        <v/>
      </c>
      <c r="AN35" s="23">
        <f>IF(OR($AH35="",$Y35=""),"",N($AI35)-$Y35)</f>
        <v/>
      </c>
    </row>
    <row r="36">
      <c r="Q36" s="20" t="n"/>
      <c r="R36" s="20" t="n"/>
      <c r="S36" s="21" t="n"/>
      <c r="U36" s="21" t="n"/>
      <c r="V36" s="22" t="n"/>
      <c r="X36" s="23">
        <f>IF(OR($S36="",$R36=""),"",ROUND(MAX(0,IF($W36="Straight-line",IF(N($V36)&lt;=0,0,($S36-N($U36))*MIN($AJ36,$V36)/$V36),IF($W36="Reducing balance",MIN(($S36-N($U36)),$S36-$S36*(1-N($AG36))^INT($AJ36/12)*(1-N($AG36)*MOD($AJ36,12)/12)),IF($W36="DDB",IF(N($V36)&lt;=0,0,MIN(($S36-N($U36)),$S36-$S36*(1-MIN(1,24/$V36))^INT($AJ36/12)*(1-MIN(1,24/$V36)*MOD($AJ36,12)/12))),IF($W36="SYD",IF(N($V36)&lt;=0,0,($S36-N($U36))*(INT(MIN($AJ36,$V36)/12)*(2*($V36/12)-INT(MIN($AJ36,$V36)/12)+1)/2+MOD(MIN($AJ36,$V36),12)/12*(($V36/12)-INT(MIN($AJ36,$V36)/12)))/(($V36/12)*(($V36/12)+1)/2)),0))))),2))</f>
        <v/>
      </c>
      <c r="Y36" s="23">
        <f>IF($X36="","",$S36-$X36)</f>
        <v/>
      </c>
      <c r="AD36" s="20" t="n"/>
      <c r="AG36" s="24" t="n"/>
      <c r="AH36" s="20" t="n"/>
      <c r="AI36" s="21" t="n"/>
      <c r="AJ36" s="25">
        <f>IF($R36="","",IF($R36&gt;IF($AH36&lt;&gt;"",MIN($AH36,Settings!$B$3),Settings!$B$3),0,(YEAR(IF($AH36&lt;&gt;"",MIN($AH36,Settings!$B$3),Settings!$B$3))-YEAR($R36))*12+MONTH(IF($AH36&lt;&gt;"",MIN($AH36,Settings!$B$3),Settings!$B$3))-MONTH($R36)+1))</f>
        <v/>
      </c>
      <c r="AK36" s="25">
        <f>IF($R36="","",IF($R36&gt;MIN(Settings!$B$4-1,IF($AH36&lt;&gt;"",MIN($AH36,Settings!$B$3),Settings!$B$3)),0,(YEAR(MIN(Settings!$B$4-1,IF($AH36&lt;&gt;"",MIN($AH36,Settings!$B$3),Settings!$B$3)))-YEAR($R36))*12+MONTH(MIN(Settings!$B$4-1,IF($AH36&lt;&gt;"",MIN($AH36,Settings!$B$3),Settings!$B$3)))-MONTH($R36)+1))</f>
        <v/>
      </c>
      <c r="AL36" s="23">
        <f>IF(OR($S36="",$R36=""),"",ROUND(MAX(0,IF($W36="Straight-line",IF(N($V36)&lt;=0,0,($S36-N($U36))*MIN($AK36,$V36)/$V36),IF($W36="Reducing balance",MIN(($S36-N($U36)),$S36-$S36*(1-N($AG36))^INT($AK36/12)*(1-N($AG36)*MOD($AK36,12)/12)),IF($W36="DDB",IF(N($V36)&lt;=0,0,MIN(($S36-N($U36)),$S36-$S36*(1-MIN(1,24/$V36))^INT($AK36/12)*(1-MIN(1,24/$V36)*MOD($AK36,12)/12))),IF($W36="SYD",IF(N($V36)&lt;=0,0,($S36-N($U36))*(INT(MIN($AK36,$V36)/12)*(2*($V36/12)-INT(MIN($AK36,$V36)/12)+1)/2+MOD(MIN($AK36,$V36),12)/12*(($V36/12)-INT(MIN($AK36,$V36)/12)))/(($V36/12)*(($V36/12)+1)/2)),0))))),2))</f>
        <v/>
      </c>
      <c r="AM36" s="23">
        <f>IF($X36="","",$X36-$AL36)</f>
        <v/>
      </c>
      <c r="AN36" s="23">
        <f>IF(OR($AH36="",$Y36=""),"",N($AI36)-$Y36)</f>
        <v/>
      </c>
    </row>
    <row r="37">
      <c r="Q37" s="20" t="n"/>
      <c r="R37" s="20" t="n"/>
      <c r="S37" s="21" t="n"/>
      <c r="U37" s="21" t="n"/>
      <c r="V37" s="22" t="n"/>
      <c r="X37" s="23">
        <f>IF(OR($S37="",$R37=""),"",ROUND(MAX(0,IF($W37="Straight-line",IF(N($V37)&lt;=0,0,($S37-N($U37))*MIN($AJ37,$V37)/$V37),IF($W37="Reducing balance",MIN(($S37-N($U37)),$S37-$S37*(1-N($AG37))^INT($AJ37/12)*(1-N($AG37)*MOD($AJ37,12)/12)),IF($W37="DDB",IF(N($V37)&lt;=0,0,MIN(($S37-N($U37)),$S37-$S37*(1-MIN(1,24/$V37))^INT($AJ37/12)*(1-MIN(1,24/$V37)*MOD($AJ37,12)/12))),IF($W37="SYD",IF(N($V37)&lt;=0,0,($S37-N($U37))*(INT(MIN($AJ37,$V37)/12)*(2*($V37/12)-INT(MIN($AJ37,$V37)/12)+1)/2+MOD(MIN($AJ37,$V37),12)/12*(($V37/12)-INT(MIN($AJ37,$V37)/12)))/(($V37/12)*(($V37/12)+1)/2)),0))))),2))</f>
        <v/>
      </c>
      <c r="Y37" s="23">
        <f>IF($X37="","",$S37-$X37)</f>
        <v/>
      </c>
      <c r="AD37" s="20" t="n"/>
      <c r="AG37" s="24" t="n"/>
      <c r="AH37" s="20" t="n"/>
      <c r="AI37" s="21" t="n"/>
      <c r="AJ37" s="25">
        <f>IF($R37="","",IF($R37&gt;IF($AH37&lt;&gt;"",MIN($AH37,Settings!$B$3),Settings!$B$3),0,(YEAR(IF($AH37&lt;&gt;"",MIN($AH37,Settings!$B$3),Settings!$B$3))-YEAR($R37))*12+MONTH(IF($AH37&lt;&gt;"",MIN($AH37,Settings!$B$3),Settings!$B$3))-MONTH($R37)+1))</f>
        <v/>
      </c>
      <c r="AK37" s="25">
        <f>IF($R37="","",IF($R37&gt;MIN(Settings!$B$4-1,IF($AH37&lt;&gt;"",MIN($AH37,Settings!$B$3),Settings!$B$3)),0,(YEAR(MIN(Settings!$B$4-1,IF($AH37&lt;&gt;"",MIN($AH37,Settings!$B$3),Settings!$B$3)))-YEAR($R37))*12+MONTH(MIN(Settings!$B$4-1,IF($AH37&lt;&gt;"",MIN($AH37,Settings!$B$3),Settings!$B$3)))-MONTH($R37)+1))</f>
        <v/>
      </c>
      <c r="AL37" s="23">
        <f>IF(OR($S37="",$R37=""),"",ROUND(MAX(0,IF($W37="Straight-line",IF(N($V37)&lt;=0,0,($S37-N($U37))*MIN($AK37,$V37)/$V37),IF($W37="Reducing balance",MIN(($S37-N($U37)),$S37-$S37*(1-N($AG37))^INT($AK37/12)*(1-N($AG37)*MOD($AK37,12)/12)),IF($W37="DDB",IF(N($V37)&lt;=0,0,MIN(($S37-N($U37)),$S37-$S37*(1-MIN(1,24/$V37))^INT($AK37/12)*(1-MIN(1,24/$V37)*MOD($AK37,12)/12))),IF($W37="SYD",IF(N($V37)&lt;=0,0,($S37-N($U37))*(INT(MIN($AK37,$V37)/12)*(2*($V37/12)-INT(MIN($AK37,$V37)/12)+1)/2+MOD(MIN($AK37,$V37),12)/12*(($V37/12)-INT(MIN($AK37,$V37)/12)))/(($V37/12)*(($V37/12)+1)/2)),0))))),2))</f>
        <v/>
      </c>
      <c r="AM37" s="23">
        <f>IF($X37="","",$X37-$AL37)</f>
        <v/>
      </c>
      <c r="AN37" s="23">
        <f>IF(OR($AH37="",$Y37=""),"",N($AI37)-$Y37)</f>
        <v/>
      </c>
    </row>
    <row r="38">
      <c r="Q38" s="20" t="n"/>
      <c r="R38" s="20" t="n"/>
      <c r="S38" s="21" t="n"/>
      <c r="U38" s="21" t="n"/>
      <c r="V38" s="22" t="n"/>
      <c r="X38" s="23">
        <f>IF(OR($S38="",$R38=""),"",ROUND(MAX(0,IF($W38="Straight-line",IF(N($V38)&lt;=0,0,($S38-N($U38))*MIN($AJ38,$V38)/$V38),IF($W38="Reducing balance",MIN(($S38-N($U38)),$S38-$S38*(1-N($AG38))^INT($AJ38/12)*(1-N($AG38)*MOD($AJ38,12)/12)),IF($W38="DDB",IF(N($V38)&lt;=0,0,MIN(($S38-N($U38)),$S38-$S38*(1-MIN(1,24/$V38))^INT($AJ38/12)*(1-MIN(1,24/$V38)*MOD($AJ38,12)/12))),IF($W38="SYD",IF(N($V38)&lt;=0,0,($S38-N($U38))*(INT(MIN($AJ38,$V38)/12)*(2*($V38/12)-INT(MIN($AJ38,$V38)/12)+1)/2+MOD(MIN($AJ38,$V38),12)/12*(($V38/12)-INT(MIN($AJ38,$V38)/12)))/(($V38/12)*(($V38/12)+1)/2)),0))))),2))</f>
        <v/>
      </c>
      <c r="Y38" s="23">
        <f>IF($X38="","",$S38-$X38)</f>
        <v/>
      </c>
      <c r="AD38" s="20" t="n"/>
      <c r="AG38" s="24" t="n"/>
      <c r="AH38" s="20" t="n"/>
      <c r="AI38" s="21" t="n"/>
      <c r="AJ38" s="25">
        <f>IF($R38="","",IF($R38&gt;IF($AH38&lt;&gt;"",MIN($AH38,Settings!$B$3),Settings!$B$3),0,(YEAR(IF($AH38&lt;&gt;"",MIN($AH38,Settings!$B$3),Settings!$B$3))-YEAR($R38))*12+MONTH(IF($AH38&lt;&gt;"",MIN($AH38,Settings!$B$3),Settings!$B$3))-MONTH($R38)+1))</f>
        <v/>
      </c>
      <c r="AK38" s="25">
        <f>IF($R38="","",IF($R38&gt;MIN(Settings!$B$4-1,IF($AH38&lt;&gt;"",MIN($AH38,Settings!$B$3),Settings!$B$3)),0,(YEAR(MIN(Settings!$B$4-1,IF($AH38&lt;&gt;"",MIN($AH38,Settings!$B$3),Settings!$B$3)))-YEAR($R38))*12+MONTH(MIN(Settings!$B$4-1,IF($AH38&lt;&gt;"",MIN($AH38,Settings!$B$3),Settings!$B$3)))-MONTH($R38)+1))</f>
        <v/>
      </c>
      <c r="AL38" s="23">
        <f>IF(OR($S38="",$R38=""),"",ROUND(MAX(0,IF($W38="Straight-line",IF(N($V38)&lt;=0,0,($S38-N($U38))*MIN($AK38,$V38)/$V38),IF($W38="Reducing balance",MIN(($S38-N($U38)),$S38-$S38*(1-N($AG38))^INT($AK38/12)*(1-N($AG38)*MOD($AK38,12)/12)),IF($W38="DDB",IF(N($V38)&lt;=0,0,MIN(($S38-N($U38)),$S38-$S38*(1-MIN(1,24/$V38))^INT($AK38/12)*(1-MIN(1,24/$V38)*MOD($AK38,12)/12))),IF($W38="SYD",IF(N($V38)&lt;=0,0,($S38-N($U38))*(INT(MIN($AK38,$V38)/12)*(2*($V38/12)-INT(MIN($AK38,$V38)/12)+1)/2+MOD(MIN($AK38,$V38),12)/12*(($V38/12)-INT(MIN($AK38,$V38)/12)))/(($V38/12)*(($V38/12)+1)/2)),0))))),2))</f>
        <v/>
      </c>
      <c r="AM38" s="23">
        <f>IF($X38="","",$X38-$AL38)</f>
        <v/>
      </c>
      <c r="AN38" s="23">
        <f>IF(OR($AH38="",$Y38=""),"",N($AI38)-$Y38)</f>
        <v/>
      </c>
    </row>
    <row r="39">
      <c r="Q39" s="20" t="n"/>
      <c r="R39" s="20" t="n"/>
      <c r="S39" s="21" t="n"/>
      <c r="U39" s="21" t="n"/>
      <c r="V39" s="22" t="n"/>
      <c r="X39" s="23">
        <f>IF(OR($S39="",$R39=""),"",ROUND(MAX(0,IF($W39="Straight-line",IF(N($V39)&lt;=0,0,($S39-N($U39))*MIN($AJ39,$V39)/$V39),IF($W39="Reducing balance",MIN(($S39-N($U39)),$S39-$S39*(1-N($AG39))^INT($AJ39/12)*(1-N($AG39)*MOD($AJ39,12)/12)),IF($W39="DDB",IF(N($V39)&lt;=0,0,MIN(($S39-N($U39)),$S39-$S39*(1-MIN(1,24/$V39))^INT($AJ39/12)*(1-MIN(1,24/$V39)*MOD($AJ39,12)/12))),IF($W39="SYD",IF(N($V39)&lt;=0,0,($S39-N($U39))*(INT(MIN($AJ39,$V39)/12)*(2*($V39/12)-INT(MIN($AJ39,$V39)/12)+1)/2+MOD(MIN($AJ39,$V39),12)/12*(($V39/12)-INT(MIN($AJ39,$V39)/12)))/(($V39/12)*(($V39/12)+1)/2)),0))))),2))</f>
        <v/>
      </c>
      <c r="Y39" s="23">
        <f>IF($X39="","",$S39-$X39)</f>
        <v/>
      </c>
      <c r="AD39" s="20" t="n"/>
      <c r="AG39" s="24" t="n"/>
      <c r="AH39" s="20" t="n"/>
      <c r="AI39" s="21" t="n"/>
      <c r="AJ39" s="25">
        <f>IF($R39="","",IF($R39&gt;IF($AH39&lt;&gt;"",MIN($AH39,Settings!$B$3),Settings!$B$3),0,(YEAR(IF($AH39&lt;&gt;"",MIN($AH39,Settings!$B$3),Settings!$B$3))-YEAR($R39))*12+MONTH(IF($AH39&lt;&gt;"",MIN($AH39,Settings!$B$3),Settings!$B$3))-MONTH($R39)+1))</f>
        <v/>
      </c>
      <c r="AK39" s="25">
        <f>IF($R39="","",IF($R39&gt;MIN(Settings!$B$4-1,IF($AH39&lt;&gt;"",MIN($AH39,Settings!$B$3),Settings!$B$3)),0,(YEAR(MIN(Settings!$B$4-1,IF($AH39&lt;&gt;"",MIN($AH39,Settings!$B$3),Settings!$B$3)))-YEAR($R39))*12+MONTH(MIN(Settings!$B$4-1,IF($AH39&lt;&gt;"",MIN($AH39,Settings!$B$3),Settings!$B$3)))-MONTH($R39)+1))</f>
        <v/>
      </c>
      <c r="AL39" s="23">
        <f>IF(OR($S39="",$R39=""),"",ROUND(MAX(0,IF($W39="Straight-line",IF(N($V39)&lt;=0,0,($S39-N($U39))*MIN($AK39,$V39)/$V39),IF($W39="Reducing balance",MIN(($S39-N($U39)),$S39-$S39*(1-N($AG39))^INT($AK39/12)*(1-N($AG39)*MOD($AK39,12)/12)),IF($W39="DDB",IF(N($V39)&lt;=0,0,MIN(($S39-N($U39)),$S39-$S39*(1-MIN(1,24/$V39))^INT($AK39/12)*(1-MIN(1,24/$V39)*MOD($AK39,12)/12))),IF($W39="SYD",IF(N($V39)&lt;=0,0,($S39-N($U39))*(INT(MIN($AK39,$V39)/12)*(2*($V39/12)-INT(MIN($AK39,$V39)/12)+1)/2+MOD(MIN($AK39,$V39),12)/12*(($V39/12)-INT(MIN($AK39,$V39)/12)))/(($V39/12)*(($V39/12)+1)/2)),0))))),2))</f>
        <v/>
      </c>
      <c r="AM39" s="23">
        <f>IF($X39="","",$X39-$AL39)</f>
        <v/>
      </c>
      <c r="AN39" s="23">
        <f>IF(OR($AH39="",$Y39=""),"",N($AI39)-$Y39)</f>
        <v/>
      </c>
    </row>
    <row r="40">
      <c r="Q40" s="20" t="n"/>
      <c r="R40" s="20" t="n"/>
      <c r="S40" s="21" t="n"/>
      <c r="U40" s="21" t="n"/>
      <c r="V40" s="22" t="n"/>
      <c r="X40" s="23">
        <f>IF(OR($S40="",$R40=""),"",ROUND(MAX(0,IF($W40="Straight-line",IF(N($V40)&lt;=0,0,($S40-N($U40))*MIN($AJ40,$V40)/$V40),IF($W40="Reducing balance",MIN(($S40-N($U40)),$S40-$S40*(1-N($AG40))^INT($AJ40/12)*(1-N($AG40)*MOD($AJ40,12)/12)),IF($W40="DDB",IF(N($V40)&lt;=0,0,MIN(($S40-N($U40)),$S40-$S40*(1-MIN(1,24/$V40))^INT($AJ40/12)*(1-MIN(1,24/$V40)*MOD($AJ40,12)/12))),IF($W40="SYD",IF(N($V40)&lt;=0,0,($S40-N($U40))*(INT(MIN($AJ40,$V40)/12)*(2*($V40/12)-INT(MIN($AJ40,$V40)/12)+1)/2+MOD(MIN($AJ40,$V40),12)/12*(($V40/12)-INT(MIN($AJ40,$V40)/12)))/(($V40/12)*(($V40/12)+1)/2)),0))))),2))</f>
        <v/>
      </c>
      <c r="Y40" s="23">
        <f>IF($X40="","",$S40-$X40)</f>
        <v/>
      </c>
      <c r="AD40" s="20" t="n"/>
      <c r="AG40" s="24" t="n"/>
      <c r="AH40" s="20" t="n"/>
      <c r="AI40" s="21" t="n"/>
      <c r="AJ40" s="25">
        <f>IF($R40="","",IF($R40&gt;IF($AH40&lt;&gt;"",MIN($AH40,Settings!$B$3),Settings!$B$3),0,(YEAR(IF($AH40&lt;&gt;"",MIN($AH40,Settings!$B$3),Settings!$B$3))-YEAR($R40))*12+MONTH(IF($AH40&lt;&gt;"",MIN($AH40,Settings!$B$3),Settings!$B$3))-MONTH($R40)+1))</f>
        <v/>
      </c>
      <c r="AK40" s="25">
        <f>IF($R40="","",IF($R40&gt;MIN(Settings!$B$4-1,IF($AH40&lt;&gt;"",MIN($AH40,Settings!$B$3),Settings!$B$3)),0,(YEAR(MIN(Settings!$B$4-1,IF($AH40&lt;&gt;"",MIN($AH40,Settings!$B$3),Settings!$B$3)))-YEAR($R40))*12+MONTH(MIN(Settings!$B$4-1,IF($AH40&lt;&gt;"",MIN($AH40,Settings!$B$3),Settings!$B$3)))-MONTH($R40)+1))</f>
        <v/>
      </c>
      <c r="AL40" s="23">
        <f>IF(OR($S40="",$R40=""),"",ROUND(MAX(0,IF($W40="Straight-line",IF(N($V40)&lt;=0,0,($S40-N($U40))*MIN($AK40,$V40)/$V40),IF($W40="Reducing balance",MIN(($S40-N($U40)),$S40-$S40*(1-N($AG40))^INT($AK40/12)*(1-N($AG40)*MOD($AK40,12)/12)),IF($W40="DDB",IF(N($V40)&lt;=0,0,MIN(($S40-N($U40)),$S40-$S40*(1-MIN(1,24/$V40))^INT($AK40/12)*(1-MIN(1,24/$V40)*MOD($AK40,12)/12))),IF($W40="SYD",IF(N($V40)&lt;=0,0,($S40-N($U40))*(INT(MIN($AK40,$V40)/12)*(2*($V40/12)-INT(MIN($AK40,$V40)/12)+1)/2+MOD(MIN($AK40,$V40),12)/12*(($V40/12)-INT(MIN($AK40,$V40)/12)))/(($V40/12)*(($V40/12)+1)/2)),0))))),2))</f>
        <v/>
      </c>
      <c r="AM40" s="23">
        <f>IF($X40="","",$X40-$AL40)</f>
        <v/>
      </c>
      <c r="AN40" s="23">
        <f>IF(OR($AH40="",$Y40=""),"",N($AI40)-$Y40)</f>
        <v/>
      </c>
    </row>
    <row r="41">
      <c r="Q41" s="20" t="n"/>
      <c r="R41" s="20" t="n"/>
      <c r="S41" s="21" t="n"/>
      <c r="U41" s="21" t="n"/>
      <c r="V41" s="22" t="n"/>
      <c r="X41" s="23">
        <f>IF(OR($S41="",$R41=""),"",ROUND(MAX(0,IF($W41="Straight-line",IF(N($V41)&lt;=0,0,($S41-N($U41))*MIN($AJ41,$V41)/$V41),IF($W41="Reducing balance",MIN(($S41-N($U41)),$S41-$S41*(1-N($AG41))^INT($AJ41/12)*(1-N($AG41)*MOD($AJ41,12)/12)),IF($W41="DDB",IF(N($V41)&lt;=0,0,MIN(($S41-N($U41)),$S41-$S41*(1-MIN(1,24/$V41))^INT($AJ41/12)*(1-MIN(1,24/$V41)*MOD($AJ41,12)/12))),IF($W41="SYD",IF(N($V41)&lt;=0,0,($S41-N($U41))*(INT(MIN($AJ41,$V41)/12)*(2*($V41/12)-INT(MIN($AJ41,$V41)/12)+1)/2+MOD(MIN($AJ41,$V41),12)/12*(($V41/12)-INT(MIN($AJ41,$V41)/12)))/(($V41/12)*(($V41/12)+1)/2)),0))))),2))</f>
        <v/>
      </c>
      <c r="Y41" s="23">
        <f>IF($X41="","",$S41-$X41)</f>
        <v/>
      </c>
      <c r="AD41" s="20" t="n"/>
      <c r="AG41" s="24" t="n"/>
      <c r="AH41" s="20" t="n"/>
      <c r="AI41" s="21" t="n"/>
      <c r="AJ41" s="25">
        <f>IF($R41="","",IF($R41&gt;IF($AH41&lt;&gt;"",MIN($AH41,Settings!$B$3),Settings!$B$3),0,(YEAR(IF($AH41&lt;&gt;"",MIN($AH41,Settings!$B$3),Settings!$B$3))-YEAR($R41))*12+MONTH(IF($AH41&lt;&gt;"",MIN($AH41,Settings!$B$3),Settings!$B$3))-MONTH($R41)+1))</f>
        <v/>
      </c>
      <c r="AK41" s="25">
        <f>IF($R41="","",IF($R41&gt;MIN(Settings!$B$4-1,IF($AH41&lt;&gt;"",MIN($AH41,Settings!$B$3),Settings!$B$3)),0,(YEAR(MIN(Settings!$B$4-1,IF($AH41&lt;&gt;"",MIN($AH41,Settings!$B$3),Settings!$B$3)))-YEAR($R41))*12+MONTH(MIN(Settings!$B$4-1,IF($AH41&lt;&gt;"",MIN($AH41,Settings!$B$3),Settings!$B$3)))-MONTH($R41)+1))</f>
        <v/>
      </c>
      <c r="AL41" s="23">
        <f>IF(OR($S41="",$R41=""),"",ROUND(MAX(0,IF($W41="Straight-line",IF(N($V41)&lt;=0,0,($S41-N($U41))*MIN($AK41,$V41)/$V41),IF($W41="Reducing balance",MIN(($S41-N($U41)),$S41-$S41*(1-N($AG41))^INT($AK41/12)*(1-N($AG41)*MOD($AK41,12)/12)),IF($W41="DDB",IF(N($V41)&lt;=0,0,MIN(($S41-N($U41)),$S41-$S41*(1-MIN(1,24/$V41))^INT($AK41/12)*(1-MIN(1,24/$V41)*MOD($AK41,12)/12))),IF($W41="SYD",IF(N($V41)&lt;=0,0,($S41-N($U41))*(INT(MIN($AK41,$V41)/12)*(2*($V41/12)-INT(MIN($AK41,$V41)/12)+1)/2+MOD(MIN($AK41,$V41),12)/12*(($V41/12)-INT(MIN($AK41,$V41)/12)))/(($V41/12)*(($V41/12)+1)/2)),0))))),2))</f>
        <v/>
      </c>
      <c r="AM41" s="23">
        <f>IF($X41="","",$X41-$AL41)</f>
        <v/>
      </c>
      <c r="AN41" s="23">
        <f>IF(OR($AH41="",$Y41=""),"",N($AI41)-$Y41)</f>
        <v/>
      </c>
    </row>
    <row r="42">
      <c r="Q42" s="20" t="n"/>
      <c r="R42" s="20" t="n"/>
      <c r="S42" s="21" t="n"/>
      <c r="U42" s="21" t="n"/>
      <c r="V42" s="22" t="n"/>
      <c r="X42" s="23">
        <f>IF(OR($S42="",$R42=""),"",ROUND(MAX(0,IF($W42="Straight-line",IF(N($V42)&lt;=0,0,($S42-N($U42))*MIN($AJ42,$V42)/$V42),IF($W42="Reducing balance",MIN(($S42-N($U42)),$S42-$S42*(1-N($AG42))^INT($AJ42/12)*(1-N($AG42)*MOD($AJ42,12)/12)),IF($W42="DDB",IF(N($V42)&lt;=0,0,MIN(($S42-N($U42)),$S42-$S42*(1-MIN(1,24/$V42))^INT($AJ42/12)*(1-MIN(1,24/$V42)*MOD($AJ42,12)/12))),IF($W42="SYD",IF(N($V42)&lt;=0,0,($S42-N($U42))*(INT(MIN($AJ42,$V42)/12)*(2*($V42/12)-INT(MIN($AJ42,$V42)/12)+1)/2+MOD(MIN($AJ42,$V42),12)/12*(($V42/12)-INT(MIN($AJ42,$V42)/12)))/(($V42/12)*(($V42/12)+1)/2)),0))))),2))</f>
        <v/>
      </c>
      <c r="Y42" s="23">
        <f>IF($X42="","",$S42-$X42)</f>
        <v/>
      </c>
      <c r="AD42" s="20" t="n"/>
      <c r="AG42" s="24" t="n"/>
      <c r="AH42" s="20" t="n"/>
      <c r="AI42" s="21" t="n"/>
      <c r="AJ42" s="25">
        <f>IF($R42="","",IF($R42&gt;IF($AH42&lt;&gt;"",MIN($AH42,Settings!$B$3),Settings!$B$3),0,(YEAR(IF($AH42&lt;&gt;"",MIN($AH42,Settings!$B$3),Settings!$B$3))-YEAR($R42))*12+MONTH(IF($AH42&lt;&gt;"",MIN($AH42,Settings!$B$3),Settings!$B$3))-MONTH($R42)+1))</f>
        <v/>
      </c>
      <c r="AK42" s="25">
        <f>IF($R42="","",IF($R42&gt;MIN(Settings!$B$4-1,IF($AH42&lt;&gt;"",MIN($AH42,Settings!$B$3),Settings!$B$3)),0,(YEAR(MIN(Settings!$B$4-1,IF($AH42&lt;&gt;"",MIN($AH42,Settings!$B$3),Settings!$B$3)))-YEAR($R42))*12+MONTH(MIN(Settings!$B$4-1,IF($AH42&lt;&gt;"",MIN($AH42,Settings!$B$3),Settings!$B$3)))-MONTH($R42)+1))</f>
        <v/>
      </c>
      <c r="AL42" s="23">
        <f>IF(OR($S42="",$R42=""),"",ROUND(MAX(0,IF($W42="Straight-line",IF(N($V42)&lt;=0,0,($S42-N($U42))*MIN($AK42,$V42)/$V42),IF($W42="Reducing balance",MIN(($S42-N($U42)),$S42-$S42*(1-N($AG42))^INT($AK42/12)*(1-N($AG42)*MOD($AK42,12)/12)),IF($W42="DDB",IF(N($V42)&lt;=0,0,MIN(($S42-N($U42)),$S42-$S42*(1-MIN(1,24/$V42))^INT($AK42/12)*(1-MIN(1,24/$V42)*MOD($AK42,12)/12))),IF($W42="SYD",IF(N($V42)&lt;=0,0,($S42-N($U42))*(INT(MIN($AK42,$V42)/12)*(2*($V42/12)-INT(MIN($AK42,$V42)/12)+1)/2+MOD(MIN($AK42,$V42),12)/12*(($V42/12)-INT(MIN($AK42,$V42)/12)))/(($V42/12)*(($V42/12)+1)/2)),0))))),2))</f>
        <v/>
      </c>
      <c r="AM42" s="23">
        <f>IF($X42="","",$X42-$AL42)</f>
        <v/>
      </c>
      <c r="AN42" s="23">
        <f>IF(OR($AH42="",$Y42=""),"",N($AI42)-$Y42)</f>
        <v/>
      </c>
    </row>
    <row r="43">
      <c r="Q43" s="20" t="n"/>
      <c r="R43" s="20" t="n"/>
      <c r="S43" s="21" t="n"/>
      <c r="U43" s="21" t="n"/>
      <c r="V43" s="22" t="n"/>
      <c r="X43" s="23">
        <f>IF(OR($S43="",$R43=""),"",ROUND(MAX(0,IF($W43="Straight-line",IF(N($V43)&lt;=0,0,($S43-N($U43))*MIN($AJ43,$V43)/$V43),IF($W43="Reducing balance",MIN(($S43-N($U43)),$S43-$S43*(1-N($AG43))^INT($AJ43/12)*(1-N($AG43)*MOD($AJ43,12)/12)),IF($W43="DDB",IF(N($V43)&lt;=0,0,MIN(($S43-N($U43)),$S43-$S43*(1-MIN(1,24/$V43))^INT($AJ43/12)*(1-MIN(1,24/$V43)*MOD($AJ43,12)/12))),IF($W43="SYD",IF(N($V43)&lt;=0,0,($S43-N($U43))*(INT(MIN($AJ43,$V43)/12)*(2*($V43/12)-INT(MIN($AJ43,$V43)/12)+1)/2+MOD(MIN($AJ43,$V43),12)/12*(($V43/12)-INT(MIN($AJ43,$V43)/12)))/(($V43/12)*(($V43/12)+1)/2)),0))))),2))</f>
        <v/>
      </c>
      <c r="Y43" s="23">
        <f>IF($X43="","",$S43-$X43)</f>
        <v/>
      </c>
      <c r="AD43" s="20" t="n"/>
      <c r="AG43" s="24" t="n"/>
      <c r="AH43" s="20" t="n"/>
      <c r="AI43" s="21" t="n"/>
      <c r="AJ43" s="25">
        <f>IF($R43="","",IF($R43&gt;IF($AH43&lt;&gt;"",MIN($AH43,Settings!$B$3),Settings!$B$3),0,(YEAR(IF($AH43&lt;&gt;"",MIN($AH43,Settings!$B$3),Settings!$B$3))-YEAR($R43))*12+MONTH(IF($AH43&lt;&gt;"",MIN($AH43,Settings!$B$3),Settings!$B$3))-MONTH($R43)+1))</f>
        <v/>
      </c>
      <c r="AK43" s="25">
        <f>IF($R43="","",IF($R43&gt;MIN(Settings!$B$4-1,IF($AH43&lt;&gt;"",MIN($AH43,Settings!$B$3),Settings!$B$3)),0,(YEAR(MIN(Settings!$B$4-1,IF($AH43&lt;&gt;"",MIN($AH43,Settings!$B$3),Settings!$B$3)))-YEAR($R43))*12+MONTH(MIN(Settings!$B$4-1,IF($AH43&lt;&gt;"",MIN($AH43,Settings!$B$3),Settings!$B$3)))-MONTH($R43)+1))</f>
        <v/>
      </c>
      <c r="AL43" s="23">
        <f>IF(OR($S43="",$R43=""),"",ROUND(MAX(0,IF($W43="Straight-line",IF(N($V43)&lt;=0,0,($S43-N($U43))*MIN($AK43,$V43)/$V43),IF($W43="Reducing balance",MIN(($S43-N($U43)),$S43-$S43*(1-N($AG43))^INT($AK43/12)*(1-N($AG43)*MOD($AK43,12)/12)),IF($W43="DDB",IF(N($V43)&lt;=0,0,MIN(($S43-N($U43)),$S43-$S43*(1-MIN(1,24/$V43))^INT($AK43/12)*(1-MIN(1,24/$V43)*MOD($AK43,12)/12))),IF($W43="SYD",IF(N($V43)&lt;=0,0,($S43-N($U43))*(INT(MIN($AK43,$V43)/12)*(2*($V43/12)-INT(MIN($AK43,$V43)/12)+1)/2+MOD(MIN($AK43,$V43),12)/12*(($V43/12)-INT(MIN($AK43,$V43)/12)))/(($V43/12)*(($V43/12)+1)/2)),0))))),2))</f>
        <v/>
      </c>
      <c r="AM43" s="23">
        <f>IF($X43="","",$X43-$AL43)</f>
        <v/>
      </c>
      <c r="AN43" s="23">
        <f>IF(OR($AH43="",$Y43=""),"",N($AI43)-$Y43)</f>
        <v/>
      </c>
    </row>
    <row r="44">
      <c r="Q44" s="20" t="n"/>
      <c r="R44" s="20" t="n"/>
      <c r="S44" s="21" t="n"/>
      <c r="U44" s="21" t="n"/>
      <c r="V44" s="22" t="n"/>
      <c r="X44" s="23">
        <f>IF(OR($S44="",$R44=""),"",ROUND(MAX(0,IF($W44="Straight-line",IF(N($V44)&lt;=0,0,($S44-N($U44))*MIN($AJ44,$V44)/$V44),IF($W44="Reducing balance",MIN(($S44-N($U44)),$S44-$S44*(1-N($AG44))^INT($AJ44/12)*(1-N($AG44)*MOD($AJ44,12)/12)),IF($W44="DDB",IF(N($V44)&lt;=0,0,MIN(($S44-N($U44)),$S44-$S44*(1-MIN(1,24/$V44))^INT($AJ44/12)*(1-MIN(1,24/$V44)*MOD($AJ44,12)/12))),IF($W44="SYD",IF(N($V44)&lt;=0,0,($S44-N($U44))*(INT(MIN($AJ44,$V44)/12)*(2*($V44/12)-INT(MIN($AJ44,$V44)/12)+1)/2+MOD(MIN($AJ44,$V44),12)/12*(($V44/12)-INT(MIN($AJ44,$V44)/12)))/(($V44/12)*(($V44/12)+1)/2)),0))))),2))</f>
        <v/>
      </c>
      <c r="Y44" s="23">
        <f>IF($X44="","",$S44-$X44)</f>
        <v/>
      </c>
      <c r="AD44" s="20" t="n"/>
      <c r="AG44" s="24" t="n"/>
      <c r="AH44" s="20" t="n"/>
      <c r="AI44" s="21" t="n"/>
      <c r="AJ44" s="25">
        <f>IF($R44="","",IF($R44&gt;IF($AH44&lt;&gt;"",MIN($AH44,Settings!$B$3),Settings!$B$3),0,(YEAR(IF($AH44&lt;&gt;"",MIN($AH44,Settings!$B$3),Settings!$B$3))-YEAR($R44))*12+MONTH(IF($AH44&lt;&gt;"",MIN($AH44,Settings!$B$3),Settings!$B$3))-MONTH($R44)+1))</f>
        <v/>
      </c>
      <c r="AK44" s="25">
        <f>IF($R44="","",IF($R44&gt;MIN(Settings!$B$4-1,IF($AH44&lt;&gt;"",MIN($AH44,Settings!$B$3),Settings!$B$3)),0,(YEAR(MIN(Settings!$B$4-1,IF($AH44&lt;&gt;"",MIN($AH44,Settings!$B$3),Settings!$B$3)))-YEAR($R44))*12+MONTH(MIN(Settings!$B$4-1,IF($AH44&lt;&gt;"",MIN($AH44,Settings!$B$3),Settings!$B$3)))-MONTH($R44)+1))</f>
        <v/>
      </c>
      <c r="AL44" s="23">
        <f>IF(OR($S44="",$R44=""),"",ROUND(MAX(0,IF($W44="Straight-line",IF(N($V44)&lt;=0,0,($S44-N($U44))*MIN($AK44,$V44)/$V44),IF($W44="Reducing balance",MIN(($S44-N($U44)),$S44-$S44*(1-N($AG44))^INT($AK44/12)*(1-N($AG44)*MOD($AK44,12)/12)),IF($W44="DDB",IF(N($V44)&lt;=0,0,MIN(($S44-N($U44)),$S44-$S44*(1-MIN(1,24/$V44))^INT($AK44/12)*(1-MIN(1,24/$V44)*MOD($AK44,12)/12))),IF($W44="SYD",IF(N($V44)&lt;=0,0,($S44-N($U44))*(INT(MIN($AK44,$V44)/12)*(2*($V44/12)-INT(MIN($AK44,$V44)/12)+1)/2+MOD(MIN($AK44,$V44),12)/12*(($V44/12)-INT(MIN($AK44,$V44)/12)))/(($V44/12)*(($V44/12)+1)/2)),0))))),2))</f>
        <v/>
      </c>
      <c r="AM44" s="23">
        <f>IF($X44="","",$X44-$AL44)</f>
        <v/>
      </c>
      <c r="AN44" s="23">
        <f>IF(OR($AH44="",$Y44=""),"",N($AI44)-$Y44)</f>
        <v/>
      </c>
    </row>
    <row r="45">
      <c r="Q45" s="20" t="n"/>
      <c r="R45" s="20" t="n"/>
      <c r="S45" s="21" t="n"/>
      <c r="U45" s="21" t="n"/>
      <c r="V45" s="22" t="n"/>
      <c r="X45" s="23">
        <f>IF(OR($S45="",$R45=""),"",ROUND(MAX(0,IF($W45="Straight-line",IF(N($V45)&lt;=0,0,($S45-N($U45))*MIN($AJ45,$V45)/$V45),IF($W45="Reducing balance",MIN(($S45-N($U45)),$S45-$S45*(1-N($AG45))^INT($AJ45/12)*(1-N($AG45)*MOD($AJ45,12)/12)),IF($W45="DDB",IF(N($V45)&lt;=0,0,MIN(($S45-N($U45)),$S45-$S45*(1-MIN(1,24/$V45))^INT($AJ45/12)*(1-MIN(1,24/$V45)*MOD($AJ45,12)/12))),IF($W45="SYD",IF(N($V45)&lt;=0,0,($S45-N($U45))*(INT(MIN($AJ45,$V45)/12)*(2*($V45/12)-INT(MIN($AJ45,$V45)/12)+1)/2+MOD(MIN($AJ45,$V45),12)/12*(($V45/12)-INT(MIN($AJ45,$V45)/12)))/(($V45/12)*(($V45/12)+1)/2)),0))))),2))</f>
        <v/>
      </c>
      <c r="Y45" s="23">
        <f>IF($X45="","",$S45-$X45)</f>
        <v/>
      </c>
      <c r="AD45" s="20" t="n"/>
      <c r="AG45" s="24" t="n"/>
      <c r="AH45" s="20" t="n"/>
      <c r="AI45" s="21" t="n"/>
      <c r="AJ45" s="25">
        <f>IF($R45="","",IF($R45&gt;IF($AH45&lt;&gt;"",MIN($AH45,Settings!$B$3),Settings!$B$3),0,(YEAR(IF($AH45&lt;&gt;"",MIN($AH45,Settings!$B$3),Settings!$B$3))-YEAR($R45))*12+MONTH(IF($AH45&lt;&gt;"",MIN($AH45,Settings!$B$3),Settings!$B$3))-MONTH($R45)+1))</f>
        <v/>
      </c>
      <c r="AK45" s="25">
        <f>IF($R45="","",IF($R45&gt;MIN(Settings!$B$4-1,IF($AH45&lt;&gt;"",MIN($AH45,Settings!$B$3),Settings!$B$3)),0,(YEAR(MIN(Settings!$B$4-1,IF($AH45&lt;&gt;"",MIN($AH45,Settings!$B$3),Settings!$B$3)))-YEAR($R45))*12+MONTH(MIN(Settings!$B$4-1,IF($AH45&lt;&gt;"",MIN($AH45,Settings!$B$3),Settings!$B$3)))-MONTH($R45)+1))</f>
        <v/>
      </c>
      <c r="AL45" s="23">
        <f>IF(OR($S45="",$R45=""),"",ROUND(MAX(0,IF($W45="Straight-line",IF(N($V45)&lt;=0,0,($S45-N($U45))*MIN($AK45,$V45)/$V45),IF($W45="Reducing balance",MIN(($S45-N($U45)),$S45-$S45*(1-N($AG45))^INT($AK45/12)*(1-N($AG45)*MOD($AK45,12)/12)),IF($W45="DDB",IF(N($V45)&lt;=0,0,MIN(($S45-N($U45)),$S45-$S45*(1-MIN(1,24/$V45))^INT($AK45/12)*(1-MIN(1,24/$V45)*MOD($AK45,12)/12))),IF($W45="SYD",IF(N($V45)&lt;=0,0,($S45-N($U45))*(INT(MIN($AK45,$V45)/12)*(2*($V45/12)-INT(MIN($AK45,$V45)/12)+1)/2+MOD(MIN($AK45,$V45),12)/12*(($V45/12)-INT(MIN($AK45,$V45)/12)))/(($V45/12)*(($V45/12)+1)/2)),0))))),2))</f>
        <v/>
      </c>
      <c r="AM45" s="23">
        <f>IF($X45="","",$X45-$AL45)</f>
        <v/>
      </c>
      <c r="AN45" s="23">
        <f>IF(OR($AH45="",$Y45=""),"",N($AI45)-$Y45)</f>
        <v/>
      </c>
    </row>
    <row r="46">
      <c r="Q46" s="20" t="n"/>
      <c r="R46" s="20" t="n"/>
      <c r="S46" s="21" t="n"/>
      <c r="U46" s="21" t="n"/>
      <c r="V46" s="22" t="n"/>
      <c r="X46" s="23">
        <f>IF(OR($S46="",$R46=""),"",ROUND(MAX(0,IF($W46="Straight-line",IF(N($V46)&lt;=0,0,($S46-N($U46))*MIN($AJ46,$V46)/$V46),IF($W46="Reducing balance",MIN(($S46-N($U46)),$S46-$S46*(1-N($AG46))^INT($AJ46/12)*(1-N($AG46)*MOD($AJ46,12)/12)),IF($W46="DDB",IF(N($V46)&lt;=0,0,MIN(($S46-N($U46)),$S46-$S46*(1-MIN(1,24/$V46))^INT($AJ46/12)*(1-MIN(1,24/$V46)*MOD($AJ46,12)/12))),IF($W46="SYD",IF(N($V46)&lt;=0,0,($S46-N($U46))*(INT(MIN($AJ46,$V46)/12)*(2*($V46/12)-INT(MIN($AJ46,$V46)/12)+1)/2+MOD(MIN($AJ46,$V46),12)/12*(($V46/12)-INT(MIN($AJ46,$V46)/12)))/(($V46/12)*(($V46/12)+1)/2)),0))))),2))</f>
        <v/>
      </c>
      <c r="Y46" s="23">
        <f>IF($X46="","",$S46-$X46)</f>
        <v/>
      </c>
      <c r="AD46" s="20" t="n"/>
      <c r="AG46" s="24" t="n"/>
      <c r="AH46" s="20" t="n"/>
      <c r="AI46" s="21" t="n"/>
      <c r="AJ46" s="25">
        <f>IF($R46="","",IF($R46&gt;IF($AH46&lt;&gt;"",MIN($AH46,Settings!$B$3),Settings!$B$3),0,(YEAR(IF($AH46&lt;&gt;"",MIN($AH46,Settings!$B$3),Settings!$B$3))-YEAR($R46))*12+MONTH(IF($AH46&lt;&gt;"",MIN($AH46,Settings!$B$3),Settings!$B$3))-MONTH($R46)+1))</f>
        <v/>
      </c>
      <c r="AK46" s="25">
        <f>IF($R46="","",IF($R46&gt;MIN(Settings!$B$4-1,IF($AH46&lt;&gt;"",MIN($AH46,Settings!$B$3),Settings!$B$3)),0,(YEAR(MIN(Settings!$B$4-1,IF($AH46&lt;&gt;"",MIN($AH46,Settings!$B$3),Settings!$B$3)))-YEAR($R46))*12+MONTH(MIN(Settings!$B$4-1,IF($AH46&lt;&gt;"",MIN($AH46,Settings!$B$3),Settings!$B$3)))-MONTH($R46)+1))</f>
        <v/>
      </c>
      <c r="AL46" s="23">
        <f>IF(OR($S46="",$R46=""),"",ROUND(MAX(0,IF($W46="Straight-line",IF(N($V46)&lt;=0,0,($S46-N($U46))*MIN($AK46,$V46)/$V46),IF($W46="Reducing balance",MIN(($S46-N($U46)),$S46-$S46*(1-N($AG46))^INT($AK46/12)*(1-N($AG46)*MOD($AK46,12)/12)),IF($W46="DDB",IF(N($V46)&lt;=0,0,MIN(($S46-N($U46)),$S46-$S46*(1-MIN(1,24/$V46))^INT($AK46/12)*(1-MIN(1,24/$V46)*MOD($AK46,12)/12))),IF($W46="SYD",IF(N($V46)&lt;=0,0,($S46-N($U46))*(INT(MIN($AK46,$V46)/12)*(2*($V46/12)-INT(MIN($AK46,$V46)/12)+1)/2+MOD(MIN($AK46,$V46),12)/12*(($V46/12)-INT(MIN($AK46,$V46)/12)))/(($V46/12)*(($V46/12)+1)/2)),0))))),2))</f>
        <v/>
      </c>
      <c r="AM46" s="23">
        <f>IF($X46="","",$X46-$AL46)</f>
        <v/>
      </c>
      <c r="AN46" s="23">
        <f>IF(OR($AH46="",$Y46=""),"",N($AI46)-$Y46)</f>
        <v/>
      </c>
    </row>
    <row r="47">
      <c r="Q47" s="20" t="n"/>
      <c r="R47" s="20" t="n"/>
      <c r="S47" s="21" t="n"/>
      <c r="U47" s="21" t="n"/>
      <c r="V47" s="22" t="n"/>
      <c r="X47" s="23">
        <f>IF(OR($S47="",$R47=""),"",ROUND(MAX(0,IF($W47="Straight-line",IF(N($V47)&lt;=0,0,($S47-N($U47))*MIN($AJ47,$V47)/$V47),IF($W47="Reducing balance",MIN(($S47-N($U47)),$S47-$S47*(1-N($AG47))^INT($AJ47/12)*(1-N($AG47)*MOD($AJ47,12)/12)),IF($W47="DDB",IF(N($V47)&lt;=0,0,MIN(($S47-N($U47)),$S47-$S47*(1-MIN(1,24/$V47))^INT($AJ47/12)*(1-MIN(1,24/$V47)*MOD($AJ47,12)/12))),IF($W47="SYD",IF(N($V47)&lt;=0,0,($S47-N($U47))*(INT(MIN($AJ47,$V47)/12)*(2*($V47/12)-INT(MIN($AJ47,$V47)/12)+1)/2+MOD(MIN($AJ47,$V47),12)/12*(($V47/12)-INT(MIN($AJ47,$V47)/12)))/(($V47/12)*(($V47/12)+1)/2)),0))))),2))</f>
        <v/>
      </c>
      <c r="Y47" s="23">
        <f>IF($X47="","",$S47-$X47)</f>
        <v/>
      </c>
      <c r="AD47" s="20" t="n"/>
      <c r="AG47" s="24" t="n"/>
      <c r="AH47" s="20" t="n"/>
      <c r="AI47" s="21" t="n"/>
      <c r="AJ47" s="25">
        <f>IF($R47="","",IF($R47&gt;IF($AH47&lt;&gt;"",MIN($AH47,Settings!$B$3),Settings!$B$3),0,(YEAR(IF($AH47&lt;&gt;"",MIN($AH47,Settings!$B$3),Settings!$B$3))-YEAR($R47))*12+MONTH(IF($AH47&lt;&gt;"",MIN($AH47,Settings!$B$3),Settings!$B$3))-MONTH($R47)+1))</f>
        <v/>
      </c>
      <c r="AK47" s="25">
        <f>IF($R47="","",IF($R47&gt;MIN(Settings!$B$4-1,IF($AH47&lt;&gt;"",MIN($AH47,Settings!$B$3),Settings!$B$3)),0,(YEAR(MIN(Settings!$B$4-1,IF($AH47&lt;&gt;"",MIN($AH47,Settings!$B$3),Settings!$B$3)))-YEAR($R47))*12+MONTH(MIN(Settings!$B$4-1,IF($AH47&lt;&gt;"",MIN($AH47,Settings!$B$3),Settings!$B$3)))-MONTH($R47)+1))</f>
        <v/>
      </c>
      <c r="AL47" s="23">
        <f>IF(OR($S47="",$R47=""),"",ROUND(MAX(0,IF($W47="Straight-line",IF(N($V47)&lt;=0,0,($S47-N($U47))*MIN($AK47,$V47)/$V47),IF($W47="Reducing balance",MIN(($S47-N($U47)),$S47-$S47*(1-N($AG47))^INT($AK47/12)*(1-N($AG47)*MOD($AK47,12)/12)),IF($W47="DDB",IF(N($V47)&lt;=0,0,MIN(($S47-N($U47)),$S47-$S47*(1-MIN(1,24/$V47))^INT($AK47/12)*(1-MIN(1,24/$V47)*MOD($AK47,12)/12))),IF($W47="SYD",IF(N($V47)&lt;=0,0,($S47-N($U47))*(INT(MIN($AK47,$V47)/12)*(2*($V47/12)-INT(MIN($AK47,$V47)/12)+1)/2+MOD(MIN($AK47,$V47),12)/12*(($V47/12)-INT(MIN($AK47,$V47)/12)))/(($V47/12)*(($V47/12)+1)/2)),0))))),2))</f>
        <v/>
      </c>
      <c r="AM47" s="23">
        <f>IF($X47="","",$X47-$AL47)</f>
        <v/>
      </c>
      <c r="AN47" s="23">
        <f>IF(OR($AH47="",$Y47=""),"",N($AI47)-$Y47)</f>
        <v/>
      </c>
    </row>
    <row r="48">
      <c r="Q48" s="20" t="n"/>
      <c r="R48" s="20" t="n"/>
      <c r="S48" s="21" t="n"/>
      <c r="U48" s="21" t="n"/>
      <c r="V48" s="22" t="n"/>
      <c r="X48" s="23">
        <f>IF(OR($S48="",$R48=""),"",ROUND(MAX(0,IF($W48="Straight-line",IF(N($V48)&lt;=0,0,($S48-N($U48))*MIN($AJ48,$V48)/$V48),IF($W48="Reducing balance",MIN(($S48-N($U48)),$S48-$S48*(1-N($AG48))^INT($AJ48/12)*(1-N($AG48)*MOD($AJ48,12)/12)),IF($W48="DDB",IF(N($V48)&lt;=0,0,MIN(($S48-N($U48)),$S48-$S48*(1-MIN(1,24/$V48))^INT($AJ48/12)*(1-MIN(1,24/$V48)*MOD($AJ48,12)/12))),IF($W48="SYD",IF(N($V48)&lt;=0,0,($S48-N($U48))*(INT(MIN($AJ48,$V48)/12)*(2*($V48/12)-INT(MIN($AJ48,$V48)/12)+1)/2+MOD(MIN($AJ48,$V48),12)/12*(($V48/12)-INT(MIN($AJ48,$V48)/12)))/(($V48/12)*(($V48/12)+1)/2)),0))))),2))</f>
        <v/>
      </c>
      <c r="Y48" s="23">
        <f>IF($X48="","",$S48-$X48)</f>
        <v/>
      </c>
      <c r="AD48" s="20" t="n"/>
      <c r="AG48" s="24" t="n"/>
      <c r="AH48" s="20" t="n"/>
      <c r="AI48" s="21" t="n"/>
      <c r="AJ48" s="25">
        <f>IF($R48="","",IF($R48&gt;IF($AH48&lt;&gt;"",MIN($AH48,Settings!$B$3),Settings!$B$3),0,(YEAR(IF($AH48&lt;&gt;"",MIN($AH48,Settings!$B$3),Settings!$B$3))-YEAR($R48))*12+MONTH(IF($AH48&lt;&gt;"",MIN($AH48,Settings!$B$3),Settings!$B$3))-MONTH($R48)+1))</f>
        <v/>
      </c>
      <c r="AK48" s="25">
        <f>IF($R48="","",IF($R48&gt;MIN(Settings!$B$4-1,IF($AH48&lt;&gt;"",MIN($AH48,Settings!$B$3),Settings!$B$3)),0,(YEAR(MIN(Settings!$B$4-1,IF($AH48&lt;&gt;"",MIN($AH48,Settings!$B$3),Settings!$B$3)))-YEAR($R48))*12+MONTH(MIN(Settings!$B$4-1,IF($AH48&lt;&gt;"",MIN($AH48,Settings!$B$3),Settings!$B$3)))-MONTH($R48)+1))</f>
        <v/>
      </c>
      <c r="AL48" s="23">
        <f>IF(OR($S48="",$R48=""),"",ROUND(MAX(0,IF($W48="Straight-line",IF(N($V48)&lt;=0,0,($S48-N($U48))*MIN($AK48,$V48)/$V48),IF($W48="Reducing balance",MIN(($S48-N($U48)),$S48-$S48*(1-N($AG48))^INT($AK48/12)*(1-N($AG48)*MOD($AK48,12)/12)),IF($W48="DDB",IF(N($V48)&lt;=0,0,MIN(($S48-N($U48)),$S48-$S48*(1-MIN(1,24/$V48))^INT($AK48/12)*(1-MIN(1,24/$V48)*MOD($AK48,12)/12))),IF($W48="SYD",IF(N($V48)&lt;=0,0,($S48-N($U48))*(INT(MIN($AK48,$V48)/12)*(2*($V48/12)-INT(MIN($AK48,$V48)/12)+1)/2+MOD(MIN($AK48,$V48),12)/12*(($V48/12)-INT(MIN($AK48,$V48)/12)))/(($V48/12)*(($V48/12)+1)/2)),0))))),2))</f>
        <v/>
      </c>
      <c r="AM48" s="23">
        <f>IF($X48="","",$X48-$AL48)</f>
        <v/>
      </c>
      <c r="AN48" s="23">
        <f>IF(OR($AH48="",$Y48=""),"",N($AI48)-$Y48)</f>
        <v/>
      </c>
    </row>
    <row r="49">
      <c r="Q49" s="20" t="n"/>
      <c r="R49" s="20" t="n"/>
      <c r="S49" s="21" t="n"/>
      <c r="U49" s="21" t="n"/>
      <c r="V49" s="22" t="n"/>
      <c r="X49" s="23">
        <f>IF(OR($S49="",$R49=""),"",ROUND(MAX(0,IF($W49="Straight-line",IF(N($V49)&lt;=0,0,($S49-N($U49))*MIN($AJ49,$V49)/$V49),IF($W49="Reducing balance",MIN(($S49-N($U49)),$S49-$S49*(1-N($AG49))^INT($AJ49/12)*(1-N($AG49)*MOD($AJ49,12)/12)),IF($W49="DDB",IF(N($V49)&lt;=0,0,MIN(($S49-N($U49)),$S49-$S49*(1-MIN(1,24/$V49))^INT($AJ49/12)*(1-MIN(1,24/$V49)*MOD($AJ49,12)/12))),IF($W49="SYD",IF(N($V49)&lt;=0,0,($S49-N($U49))*(INT(MIN($AJ49,$V49)/12)*(2*($V49/12)-INT(MIN($AJ49,$V49)/12)+1)/2+MOD(MIN($AJ49,$V49),12)/12*(($V49/12)-INT(MIN($AJ49,$V49)/12)))/(($V49/12)*(($V49/12)+1)/2)),0))))),2))</f>
        <v/>
      </c>
      <c r="Y49" s="23">
        <f>IF($X49="","",$S49-$X49)</f>
        <v/>
      </c>
      <c r="AD49" s="20" t="n"/>
      <c r="AG49" s="24" t="n"/>
      <c r="AH49" s="20" t="n"/>
      <c r="AI49" s="21" t="n"/>
      <c r="AJ49" s="25">
        <f>IF($R49="","",IF($R49&gt;IF($AH49&lt;&gt;"",MIN($AH49,Settings!$B$3),Settings!$B$3),0,(YEAR(IF($AH49&lt;&gt;"",MIN($AH49,Settings!$B$3),Settings!$B$3))-YEAR($R49))*12+MONTH(IF($AH49&lt;&gt;"",MIN($AH49,Settings!$B$3),Settings!$B$3))-MONTH($R49)+1))</f>
        <v/>
      </c>
      <c r="AK49" s="25">
        <f>IF($R49="","",IF($R49&gt;MIN(Settings!$B$4-1,IF($AH49&lt;&gt;"",MIN($AH49,Settings!$B$3),Settings!$B$3)),0,(YEAR(MIN(Settings!$B$4-1,IF($AH49&lt;&gt;"",MIN($AH49,Settings!$B$3),Settings!$B$3)))-YEAR($R49))*12+MONTH(MIN(Settings!$B$4-1,IF($AH49&lt;&gt;"",MIN($AH49,Settings!$B$3),Settings!$B$3)))-MONTH($R49)+1))</f>
        <v/>
      </c>
      <c r="AL49" s="23">
        <f>IF(OR($S49="",$R49=""),"",ROUND(MAX(0,IF($W49="Straight-line",IF(N($V49)&lt;=0,0,($S49-N($U49))*MIN($AK49,$V49)/$V49),IF($W49="Reducing balance",MIN(($S49-N($U49)),$S49-$S49*(1-N($AG49))^INT($AK49/12)*(1-N($AG49)*MOD($AK49,12)/12)),IF($W49="DDB",IF(N($V49)&lt;=0,0,MIN(($S49-N($U49)),$S49-$S49*(1-MIN(1,24/$V49))^INT($AK49/12)*(1-MIN(1,24/$V49)*MOD($AK49,12)/12))),IF($W49="SYD",IF(N($V49)&lt;=0,0,($S49-N($U49))*(INT(MIN($AK49,$V49)/12)*(2*($V49/12)-INT(MIN($AK49,$V49)/12)+1)/2+MOD(MIN($AK49,$V49),12)/12*(($V49/12)-INT(MIN($AK49,$V49)/12)))/(($V49/12)*(($V49/12)+1)/2)),0))))),2))</f>
        <v/>
      </c>
      <c r="AM49" s="23">
        <f>IF($X49="","",$X49-$AL49)</f>
        <v/>
      </c>
      <c r="AN49" s="23">
        <f>IF(OR($AH49="",$Y49=""),"",N($AI49)-$Y49)</f>
        <v/>
      </c>
    </row>
    <row r="50">
      <c r="Q50" s="20" t="n"/>
      <c r="R50" s="20" t="n"/>
      <c r="S50" s="21" t="n"/>
      <c r="U50" s="21" t="n"/>
      <c r="V50" s="22" t="n"/>
      <c r="X50" s="23">
        <f>IF(OR($S50="",$R50=""),"",ROUND(MAX(0,IF($W50="Straight-line",IF(N($V50)&lt;=0,0,($S50-N($U50))*MIN($AJ50,$V50)/$V50),IF($W50="Reducing balance",MIN(($S50-N($U50)),$S50-$S50*(1-N($AG50))^INT($AJ50/12)*(1-N($AG50)*MOD($AJ50,12)/12)),IF($W50="DDB",IF(N($V50)&lt;=0,0,MIN(($S50-N($U50)),$S50-$S50*(1-MIN(1,24/$V50))^INT($AJ50/12)*(1-MIN(1,24/$V50)*MOD($AJ50,12)/12))),IF($W50="SYD",IF(N($V50)&lt;=0,0,($S50-N($U50))*(INT(MIN($AJ50,$V50)/12)*(2*($V50/12)-INT(MIN($AJ50,$V50)/12)+1)/2+MOD(MIN($AJ50,$V50),12)/12*(($V50/12)-INT(MIN($AJ50,$V50)/12)))/(($V50/12)*(($V50/12)+1)/2)),0))))),2))</f>
        <v/>
      </c>
      <c r="Y50" s="23">
        <f>IF($X50="","",$S50-$X50)</f>
        <v/>
      </c>
      <c r="AD50" s="20" t="n"/>
      <c r="AG50" s="24" t="n"/>
      <c r="AH50" s="20" t="n"/>
      <c r="AI50" s="21" t="n"/>
      <c r="AJ50" s="25">
        <f>IF($R50="","",IF($R50&gt;IF($AH50&lt;&gt;"",MIN($AH50,Settings!$B$3),Settings!$B$3),0,(YEAR(IF($AH50&lt;&gt;"",MIN($AH50,Settings!$B$3),Settings!$B$3))-YEAR($R50))*12+MONTH(IF($AH50&lt;&gt;"",MIN($AH50,Settings!$B$3),Settings!$B$3))-MONTH($R50)+1))</f>
        <v/>
      </c>
      <c r="AK50" s="25">
        <f>IF($R50="","",IF($R50&gt;MIN(Settings!$B$4-1,IF($AH50&lt;&gt;"",MIN($AH50,Settings!$B$3),Settings!$B$3)),0,(YEAR(MIN(Settings!$B$4-1,IF($AH50&lt;&gt;"",MIN($AH50,Settings!$B$3),Settings!$B$3)))-YEAR($R50))*12+MONTH(MIN(Settings!$B$4-1,IF($AH50&lt;&gt;"",MIN($AH50,Settings!$B$3),Settings!$B$3)))-MONTH($R50)+1))</f>
        <v/>
      </c>
      <c r="AL50" s="23">
        <f>IF(OR($S50="",$R50=""),"",ROUND(MAX(0,IF($W50="Straight-line",IF(N($V50)&lt;=0,0,($S50-N($U50))*MIN($AK50,$V50)/$V50),IF($W50="Reducing balance",MIN(($S50-N($U50)),$S50-$S50*(1-N($AG50))^INT($AK50/12)*(1-N($AG50)*MOD($AK50,12)/12)),IF($W50="DDB",IF(N($V50)&lt;=0,0,MIN(($S50-N($U50)),$S50-$S50*(1-MIN(1,24/$V50))^INT($AK50/12)*(1-MIN(1,24/$V50)*MOD($AK50,12)/12))),IF($W50="SYD",IF(N($V50)&lt;=0,0,($S50-N($U50))*(INT(MIN($AK50,$V50)/12)*(2*($V50/12)-INT(MIN($AK50,$V50)/12)+1)/2+MOD(MIN($AK50,$V50),12)/12*(($V50/12)-INT(MIN($AK50,$V50)/12)))/(($V50/12)*(($V50/12)+1)/2)),0))))),2))</f>
        <v/>
      </c>
      <c r="AM50" s="23">
        <f>IF($X50="","",$X50-$AL50)</f>
        <v/>
      </c>
      <c r="AN50" s="23">
        <f>IF(OR($AH50="",$Y50=""),"",N($AI50)-$Y50)</f>
        <v/>
      </c>
    </row>
    <row r="51">
      <c r="Q51" s="20" t="n"/>
      <c r="R51" s="20" t="n"/>
      <c r="S51" s="21" t="n"/>
      <c r="U51" s="21" t="n"/>
      <c r="V51" s="22" t="n"/>
      <c r="X51" s="23">
        <f>IF(OR($S51="",$R51=""),"",ROUND(MAX(0,IF($W51="Straight-line",IF(N($V51)&lt;=0,0,($S51-N($U51))*MIN($AJ51,$V51)/$V51),IF($W51="Reducing balance",MIN(($S51-N($U51)),$S51-$S51*(1-N($AG51))^INT($AJ51/12)*(1-N($AG51)*MOD($AJ51,12)/12)),IF($W51="DDB",IF(N($V51)&lt;=0,0,MIN(($S51-N($U51)),$S51-$S51*(1-MIN(1,24/$V51))^INT($AJ51/12)*(1-MIN(1,24/$V51)*MOD($AJ51,12)/12))),IF($W51="SYD",IF(N($V51)&lt;=0,0,($S51-N($U51))*(INT(MIN($AJ51,$V51)/12)*(2*($V51/12)-INT(MIN($AJ51,$V51)/12)+1)/2+MOD(MIN($AJ51,$V51),12)/12*(($V51/12)-INT(MIN($AJ51,$V51)/12)))/(($V51/12)*(($V51/12)+1)/2)),0))))),2))</f>
        <v/>
      </c>
      <c r="Y51" s="23">
        <f>IF($X51="","",$S51-$X51)</f>
        <v/>
      </c>
      <c r="AD51" s="20" t="n"/>
      <c r="AG51" s="24" t="n"/>
      <c r="AH51" s="20" t="n"/>
      <c r="AI51" s="21" t="n"/>
      <c r="AJ51" s="25">
        <f>IF($R51="","",IF($R51&gt;IF($AH51&lt;&gt;"",MIN($AH51,Settings!$B$3),Settings!$B$3),0,(YEAR(IF($AH51&lt;&gt;"",MIN($AH51,Settings!$B$3),Settings!$B$3))-YEAR($R51))*12+MONTH(IF($AH51&lt;&gt;"",MIN($AH51,Settings!$B$3),Settings!$B$3))-MONTH($R51)+1))</f>
        <v/>
      </c>
      <c r="AK51" s="25">
        <f>IF($R51="","",IF($R51&gt;MIN(Settings!$B$4-1,IF($AH51&lt;&gt;"",MIN($AH51,Settings!$B$3),Settings!$B$3)),0,(YEAR(MIN(Settings!$B$4-1,IF($AH51&lt;&gt;"",MIN($AH51,Settings!$B$3),Settings!$B$3)))-YEAR($R51))*12+MONTH(MIN(Settings!$B$4-1,IF($AH51&lt;&gt;"",MIN($AH51,Settings!$B$3),Settings!$B$3)))-MONTH($R51)+1))</f>
        <v/>
      </c>
      <c r="AL51" s="23">
        <f>IF(OR($S51="",$R51=""),"",ROUND(MAX(0,IF($W51="Straight-line",IF(N($V51)&lt;=0,0,($S51-N($U51))*MIN($AK51,$V51)/$V51),IF($W51="Reducing balance",MIN(($S51-N($U51)),$S51-$S51*(1-N($AG51))^INT($AK51/12)*(1-N($AG51)*MOD($AK51,12)/12)),IF($W51="DDB",IF(N($V51)&lt;=0,0,MIN(($S51-N($U51)),$S51-$S51*(1-MIN(1,24/$V51))^INT($AK51/12)*(1-MIN(1,24/$V51)*MOD($AK51,12)/12))),IF($W51="SYD",IF(N($V51)&lt;=0,0,($S51-N($U51))*(INT(MIN($AK51,$V51)/12)*(2*($V51/12)-INT(MIN($AK51,$V51)/12)+1)/2+MOD(MIN($AK51,$V51),12)/12*(($V51/12)-INT(MIN($AK51,$V51)/12)))/(($V51/12)*(($V51/12)+1)/2)),0))))),2))</f>
        <v/>
      </c>
      <c r="AM51" s="23">
        <f>IF($X51="","",$X51-$AL51)</f>
        <v/>
      </c>
      <c r="AN51" s="23">
        <f>IF(OR($AH51="",$Y51=""),"",N($AI51)-$Y51)</f>
        <v/>
      </c>
    </row>
    <row r="52">
      <c r="Q52" s="20" t="n"/>
      <c r="R52" s="20" t="n"/>
      <c r="S52" s="21" t="n"/>
      <c r="U52" s="21" t="n"/>
      <c r="V52" s="22" t="n"/>
      <c r="X52" s="23">
        <f>IF(OR($S52="",$R52=""),"",ROUND(MAX(0,IF($W52="Straight-line",IF(N($V52)&lt;=0,0,($S52-N($U52))*MIN($AJ52,$V52)/$V52),IF($W52="Reducing balance",MIN(($S52-N($U52)),$S52-$S52*(1-N($AG52))^INT($AJ52/12)*(1-N($AG52)*MOD($AJ52,12)/12)),IF($W52="DDB",IF(N($V52)&lt;=0,0,MIN(($S52-N($U52)),$S52-$S52*(1-MIN(1,24/$V52))^INT($AJ52/12)*(1-MIN(1,24/$V52)*MOD($AJ52,12)/12))),IF($W52="SYD",IF(N($V52)&lt;=0,0,($S52-N($U52))*(INT(MIN($AJ52,$V52)/12)*(2*($V52/12)-INT(MIN($AJ52,$V52)/12)+1)/2+MOD(MIN($AJ52,$V52),12)/12*(($V52/12)-INT(MIN($AJ52,$V52)/12)))/(($V52/12)*(($V52/12)+1)/2)),0))))),2))</f>
        <v/>
      </c>
      <c r="Y52" s="23">
        <f>IF($X52="","",$S52-$X52)</f>
        <v/>
      </c>
      <c r="AD52" s="20" t="n"/>
      <c r="AG52" s="24" t="n"/>
      <c r="AH52" s="20" t="n"/>
      <c r="AI52" s="21" t="n"/>
      <c r="AJ52" s="25">
        <f>IF($R52="","",IF($R52&gt;IF($AH52&lt;&gt;"",MIN($AH52,Settings!$B$3),Settings!$B$3),0,(YEAR(IF($AH52&lt;&gt;"",MIN($AH52,Settings!$B$3),Settings!$B$3))-YEAR($R52))*12+MONTH(IF($AH52&lt;&gt;"",MIN($AH52,Settings!$B$3),Settings!$B$3))-MONTH($R52)+1))</f>
        <v/>
      </c>
      <c r="AK52" s="25">
        <f>IF($R52="","",IF($R52&gt;MIN(Settings!$B$4-1,IF($AH52&lt;&gt;"",MIN($AH52,Settings!$B$3),Settings!$B$3)),0,(YEAR(MIN(Settings!$B$4-1,IF($AH52&lt;&gt;"",MIN($AH52,Settings!$B$3),Settings!$B$3)))-YEAR($R52))*12+MONTH(MIN(Settings!$B$4-1,IF($AH52&lt;&gt;"",MIN($AH52,Settings!$B$3),Settings!$B$3)))-MONTH($R52)+1))</f>
        <v/>
      </c>
      <c r="AL52" s="23">
        <f>IF(OR($S52="",$R52=""),"",ROUND(MAX(0,IF($W52="Straight-line",IF(N($V52)&lt;=0,0,($S52-N($U52))*MIN($AK52,$V52)/$V52),IF($W52="Reducing balance",MIN(($S52-N($U52)),$S52-$S52*(1-N($AG52))^INT($AK52/12)*(1-N($AG52)*MOD($AK52,12)/12)),IF($W52="DDB",IF(N($V52)&lt;=0,0,MIN(($S52-N($U52)),$S52-$S52*(1-MIN(1,24/$V52))^INT($AK52/12)*(1-MIN(1,24/$V52)*MOD($AK52,12)/12))),IF($W52="SYD",IF(N($V52)&lt;=0,0,($S52-N($U52))*(INT(MIN($AK52,$V52)/12)*(2*($V52/12)-INT(MIN($AK52,$V52)/12)+1)/2+MOD(MIN($AK52,$V52),12)/12*(($V52/12)-INT(MIN($AK52,$V52)/12)))/(($V52/12)*(($V52/12)+1)/2)),0))))),2))</f>
        <v/>
      </c>
      <c r="AM52" s="23">
        <f>IF($X52="","",$X52-$AL52)</f>
        <v/>
      </c>
      <c r="AN52" s="23">
        <f>IF(OR($AH52="",$Y52=""),"",N($AI52)-$Y52)</f>
        <v/>
      </c>
    </row>
    <row r="53">
      <c r="Q53" s="20" t="n"/>
      <c r="R53" s="20" t="n"/>
      <c r="S53" s="21" t="n"/>
      <c r="U53" s="21" t="n"/>
      <c r="V53" s="22" t="n"/>
      <c r="X53" s="23">
        <f>IF(OR($S53="",$R53=""),"",ROUND(MAX(0,IF($W53="Straight-line",IF(N($V53)&lt;=0,0,($S53-N($U53))*MIN($AJ53,$V53)/$V53),IF($W53="Reducing balance",MIN(($S53-N($U53)),$S53-$S53*(1-N($AG53))^INT($AJ53/12)*(1-N($AG53)*MOD($AJ53,12)/12)),IF($W53="DDB",IF(N($V53)&lt;=0,0,MIN(($S53-N($U53)),$S53-$S53*(1-MIN(1,24/$V53))^INT($AJ53/12)*(1-MIN(1,24/$V53)*MOD($AJ53,12)/12))),IF($W53="SYD",IF(N($V53)&lt;=0,0,($S53-N($U53))*(INT(MIN($AJ53,$V53)/12)*(2*($V53/12)-INT(MIN($AJ53,$V53)/12)+1)/2+MOD(MIN($AJ53,$V53),12)/12*(($V53/12)-INT(MIN($AJ53,$V53)/12)))/(($V53/12)*(($V53/12)+1)/2)),0))))),2))</f>
        <v/>
      </c>
      <c r="Y53" s="23">
        <f>IF($X53="","",$S53-$X53)</f>
        <v/>
      </c>
      <c r="AD53" s="20" t="n"/>
      <c r="AG53" s="24" t="n"/>
      <c r="AH53" s="20" t="n"/>
      <c r="AI53" s="21" t="n"/>
      <c r="AJ53" s="25">
        <f>IF($R53="","",IF($R53&gt;IF($AH53&lt;&gt;"",MIN($AH53,Settings!$B$3),Settings!$B$3),0,(YEAR(IF($AH53&lt;&gt;"",MIN($AH53,Settings!$B$3),Settings!$B$3))-YEAR($R53))*12+MONTH(IF($AH53&lt;&gt;"",MIN($AH53,Settings!$B$3),Settings!$B$3))-MONTH($R53)+1))</f>
        <v/>
      </c>
      <c r="AK53" s="25">
        <f>IF($R53="","",IF($R53&gt;MIN(Settings!$B$4-1,IF($AH53&lt;&gt;"",MIN($AH53,Settings!$B$3),Settings!$B$3)),0,(YEAR(MIN(Settings!$B$4-1,IF($AH53&lt;&gt;"",MIN($AH53,Settings!$B$3),Settings!$B$3)))-YEAR($R53))*12+MONTH(MIN(Settings!$B$4-1,IF($AH53&lt;&gt;"",MIN($AH53,Settings!$B$3),Settings!$B$3)))-MONTH($R53)+1))</f>
        <v/>
      </c>
      <c r="AL53" s="23">
        <f>IF(OR($S53="",$R53=""),"",ROUND(MAX(0,IF($W53="Straight-line",IF(N($V53)&lt;=0,0,($S53-N($U53))*MIN($AK53,$V53)/$V53),IF($W53="Reducing balance",MIN(($S53-N($U53)),$S53-$S53*(1-N($AG53))^INT($AK53/12)*(1-N($AG53)*MOD($AK53,12)/12)),IF($W53="DDB",IF(N($V53)&lt;=0,0,MIN(($S53-N($U53)),$S53-$S53*(1-MIN(1,24/$V53))^INT($AK53/12)*(1-MIN(1,24/$V53)*MOD($AK53,12)/12))),IF($W53="SYD",IF(N($V53)&lt;=0,0,($S53-N($U53))*(INT(MIN($AK53,$V53)/12)*(2*($V53/12)-INT(MIN($AK53,$V53)/12)+1)/2+MOD(MIN($AK53,$V53),12)/12*(($V53/12)-INT(MIN($AK53,$V53)/12)))/(($V53/12)*(($V53/12)+1)/2)),0))))),2))</f>
        <v/>
      </c>
      <c r="AM53" s="23">
        <f>IF($X53="","",$X53-$AL53)</f>
        <v/>
      </c>
      <c r="AN53" s="23">
        <f>IF(OR($AH53="",$Y53=""),"",N($AI53)-$Y53)</f>
        <v/>
      </c>
    </row>
    <row r="54">
      <c r="Q54" s="20" t="n"/>
      <c r="R54" s="20" t="n"/>
      <c r="S54" s="21" t="n"/>
      <c r="U54" s="21" t="n"/>
      <c r="V54" s="22" t="n"/>
      <c r="X54" s="23">
        <f>IF(OR($S54="",$R54=""),"",ROUND(MAX(0,IF($W54="Straight-line",IF(N($V54)&lt;=0,0,($S54-N($U54))*MIN($AJ54,$V54)/$V54),IF($W54="Reducing balance",MIN(($S54-N($U54)),$S54-$S54*(1-N($AG54))^INT($AJ54/12)*(1-N($AG54)*MOD($AJ54,12)/12)),IF($W54="DDB",IF(N($V54)&lt;=0,0,MIN(($S54-N($U54)),$S54-$S54*(1-MIN(1,24/$V54))^INT($AJ54/12)*(1-MIN(1,24/$V54)*MOD($AJ54,12)/12))),IF($W54="SYD",IF(N($V54)&lt;=0,0,($S54-N($U54))*(INT(MIN($AJ54,$V54)/12)*(2*($V54/12)-INT(MIN($AJ54,$V54)/12)+1)/2+MOD(MIN($AJ54,$V54),12)/12*(($V54/12)-INT(MIN($AJ54,$V54)/12)))/(($V54/12)*(($V54/12)+1)/2)),0))))),2))</f>
        <v/>
      </c>
      <c r="Y54" s="23">
        <f>IF($X54="","",$S54-$X54)</f>
        <v/>
      </c>
      <c r="AD54" s="20" t="n"/>
      <c r="AG54" s="24" t="n"/>
      <c r="AH54" s="20" t="n"/>
      <c r="AI54" s="21" t="n"/>
      <c r="AJ54" s="25">
        <f>IF($R54="","",IF($R54&gt;IF($AH54&lt;&gt;"",MIN($AH54,Settings!$B$3),Settings!$B$3),0,(YEAR(IF($AH54&lt;&gt;"",MIN($AH54,Settings!$B$3),Settings!$B$3))-YEAR($R54))*12+MONTH(IF($AH54&lt;&gt;"",MIN($AH54,Settings!$B$3),Settings!$B$3))-MONTH($R54)+1))</f>
        <v/>
      </c>
      <c r="AK54" s="25">
        <f>IF($R54="","",IF($R54&gt;MIN(Settings!$B$4-1,IF($AH54&lt;&gt;"",MIN($AH54,Settings!$B$3),Settings!$B$3)),0,(YEAR(MIN(Settings!$B$4-1,IF($AH54&lt;&gt;"",MIN($AH54,Settings!$B$3),Settings!$B$3)))-YEAR($R54))*12+MONTH(MIN(Settings!$B$4-1,IF($AH54&lt;&gt;"",MIN($AH54,Settings!$B$3),Settings!$B$3)))-MONTH($R54)+1))</f>
        <v/>
      </c>
      <c r="AL54" s="23">
        <f>IF(OR($S54="",$R54=""),"",ROUND(MAX(0,IF($W54="Straight-line",IF(N($V54)&lt;=0,0,($S54-N($U54))*MIN($AK54,$V54)/$V54),IF($W54="Reducing balance",MIN(($S54-N($U54)),$S54-$S54*(1-N($AG54))^INT($AK54/12)*(1-N($AG54)*MOD($AK54,12)/12)),IF($W54="DDB",IF(N($V54)&lt;=0,0,MIN(($S54-N($U54)),$S54-$S54*(1-MIN(1,24/$V54))^INT($AK54/12)*(1-MIN(1,24/$V54)*MOD($AK54,12)/12))),IF($W54="SYD",IF(N($V54)&lt;=0,0,($S54-N($U54))*(INT(MIN($AK54,$V54)/12)*(2*($V54/12)-INT(MIN($AK54,$V54)/12)+1)/2+MOD(MIN($AK54,$V54),12)/12*(($V54/12)-INT(MIN($AK54,$V54)/12)))/(($V54/12)*(($V54/12)+1)/2)),0))))),2))</f>
        <v/>
      </c>
      <c r="AM54" s="23">
        <f>IF($X54="","",$X54-$AL54)</f>
        <v/>
      </c>
      <c r="AN54" s="23">
        <f>IF(OR($AH54="",$Y54=""),"",N($AI54)-$Y54)</f>
        <v/>
      </c>
    </row>
    <row r="55">
      <c r="Q55" s="20" t="n"/>
      <c r="R55" s="20" t="n"/>
      <c r="S55" s="21" t="n"/>
      <c r="U55" s="21" t="n"/>
      <c r="V55" s="22" t="n"/>
      <c r="X55" s="23">
        <f>IF(OR($S55="",$R55=""),"",ROUND(MAX(0,IF($W55="Straight-line",IF(N($V55)&lt;=0,0,($S55-N($U55))*MIN($AJ55,$V55)/$V55),IF($W55="Reducing balance",MIN(($S55-N($U55)),$S55-$S55*(1-N($AG55))^INT($AJ55/12)*(1-N($AG55)*MOD($AJ55,12)/12)),IF($W55="DDB",IF(N($V55)&lt;=0,0,MIN(($S55-N($U55)),$S55-$S55*(1-MIN(1,24/$V55))^INT($AJ55/12)*(1-MIN(1,24/$V55)*MOD($AJ55,12)/12))),IF($W55="SYD",IF(N($V55)&lt;=0,0,($S55-N($U55))*(INT(MIN($AJ55,$V55)/12)*(2*($V55/12)-INT(MIN($AJ55,$V55)/12)+1)/2+MOD(MIN($AJ55,$V55),12)/12*(($V55/12)-INT(MIN($AJ55,$V55)/12)))/(($V55/12)*(($V55/12)+1)/2)),0))))),2))</f>
        <v/>
      </c>
      <c r="Y55" s="23">
        <f>IF($X55="","",$S55-$X55)</f>
        <v/>
      </c>
      <c r="AD55" s="20" t="n"/>
      <c r="AG55" s="24" t="n"/>
      <c r="AH55" s="20" t="n"/>
      <c r="AI55" s="21" t="n"/>
      <c r="AJ55" s="25">
        <f>IF($R55="","",IF($R55&gt;IF($AH55&lt;&gt;"",MIN($AH55,Settings!$B$3),Settings!$B$3),0,(YEAR(IF($AH55&lt;&gt;"",MIN($AH55,Settings!$B$3),Settings!$B$3))-YEAR($R55))*12+MONTH(IF($AH55&lt;&gt;"",MIN($AH55,Settings!$B$3),Settings!$B$3))-MONTH($R55)+1))</f>
        <v/>
      </c>
      <c r="AK55" s="25">
        <f>IF($R55="","",IF($R55&gt;MIN(Settings!$B$4-1,IF($AH55&lt;&gt;"",MIN($AH55,Settings!$B$3),Settings!$B$3)),0,(YEAR(MIN(Settings!$B$4-1,IF($AH55&lt;&gt;"",MIN($AH55,Settings!$B$3),Settings!$B$3)))-YEAR($R55))*12+MONTH(MIN(Settings!$B$4-1,IF($AH55&lt;&gt;"",MIN($AH55,Settings!$B$3),Settings!$B$3)))-MONTH($R55)+1))</f>
        <v/>
      </c>
      <c r="AL55" s="23">
        <f>IF(OR($S55="",$R55=""),"",ROUND(MAX(0,IF($W55="Straight-line",IF(N($V55)&lt;=0,0,($S55-N($U55))*MIN($AK55,$V55)/$V55),IF($W55="Reducing balance",MIN(($S55-N($U55)),$S55-$S55*(1-N($AG55))^INT($AK55/12)*(1-N($AG55)*MOD($AK55,12)/12)),IF($W55="DDB",IF(N($V55)&lt;=0,0,MIN(($S55-N($U55)),$S55-$S55*(1-MIN(1,24/$V55))^INT($AK55/12)*(1-MIN(1,24/$V55)*MOD($AK55,12)/12))),IF($W55="SYD",IF(N($V55)&lt;=0,0,($S55-N($U55))*(INT(MIN($AK55,$V55)/12)*(2*($V55/12)-INT(MIN($AK55,$V55)/12)+1)/2+MOD(MIN($AK55,$V55),12)/12*(($V55/12)-INT(MIN($AK55,$V55)/12)))/(($V55/12)*(($V55/12)+1)/2)),0))))),2))</f>
        <v/>
      </c>
      <c r="AM55" s="23">
        <f>IF($X55="","",$X55-$AL55)</f>
        <v/>
      </c>
      <c r="AN55" s="23">
        <f>IF(OR($AH55="",$Y55=""),"",N($AI55)-$Y55)</f>
        <v/>
      </c>
    </row>
    <row r="56">
      <c r="Q56" s="20" t="n"/>
      <c r="R56" s="20" t="n"/>
      <c r="S56" s="21" t="n"/>
      <c r="U56" s="21" t="n"/>
      <c r="V56" s="22" t="n"/>
      <c r="X56" s="23">
        <f>IF(OR($S56="",$R56=""),"",ROUND(MAX(0,IF($W56="Straight-line",IF(N($V56)&lt;=0,0,($S56-N($U56))*MIN($AJ56,$V56)/$V56),IF($W56="Reducing balance",MIN(($S56-N($U56)),$S56-$S56*(1-N($AG56))^INT($AJ56/12)*(1-N($AG56)*MOD($AJ56,12)/12)),IF($W56="DDB",IF(N($V56)&lt;=0,0,MIN(($S56-N($U56)),$S56-$S56*(1-MIN(1,24/$V56))^INT($AJ56/12)*(1-MIN(1,24/$V56)*MOD($AJ56,12)/12))),IF($W56="SYD",IF(N($V56)&lt;=0,0,($S56-N($U56))*(INT(MIN($AJ56,$V56)/12)*(2*($V56/12)-INT(MIN($AJ56,$V56)/12)+1)/2+MOD(MIN($AJ56,$V56),12)/12*(($V56/12)-INT(MIN($AJ56,$V56)/12)))/(($V56/12)*(($V56/12)+1)/2)),0))))),2))</f>
        <v/>
      </c>
      <c r="Y56" s="23">
        <f>IF($X56="","",$S56-$X56)</f>
        <v/>
      </c>
      <c r="AD56" s="20" t="n"/>
      <c r="AG56" s="24" t="n"/>
      <c r="AH56" s="20" t="n"/>
      <c r="AI56" s="21" t="n"/>
      <c r="AJ56" s="25">
        <f>IF($R56="","",IF($R56&gt;IF($AH56&lt;&gt;"",MIN($AH56,Settings!$B$3),Settings!$B$3),0,(YEAR(IF($AH56&lt;&gt;"",MIN($AH56,Settings!$B$3),Settings!$B$3))-YEAR($R56))*12+MONTH(IF($AH56&lt;&gt;"",MIN($AH56,Settings!$B$3),Settings!$B$3))-MONTH($R56)+1))</f>
        <v/>
      </c>
      <c r="AK56" s="25">
        <f>IF($R56="","",IF($R56&gt;MIN(Settings!$B$4-1,IF($AH56&lt;&gt;"",MIN($AH56,Settings!$B$3),Settings!$B$3)),0,(YEAR(MIN(Settings!$B$4-1,IF($AH56&lt;&gt;"",MIN($AH56,Settings!$B$3),Settings!$B$3)))-YEAR($R56))*12+MONTH(MIN(Settings!$B$4-1,IF($AH56&lt;&gt;"",MIN($AH56,Settings!$B$3),Settings!$B$3)))-MONTH($R56)+1))</f>
        <v/>
      </c>
      <c r="AL56" s="23">
        <f>IF(OR($S56="",$R56=""),"",ROUND(MAX(0,IF($W56="Straight-line",IF(N($V56)&lt;=0,0,($S56-N($U56))*MIN($AK56,$V56)/$V56),IF($W56="Reducing balance",MIN(($S56-N($U56)),$S56-$S56*(1-N($AG56))^INT($AK56/12)*(1-N($AG56)*MOD($AK56,12)/12)),IF($W56="DDB",IF(N($V56)&lt;=0,0,MIN(($S56-N($U56)),$S56-$S56*(1-MIN(1,24/$V56))^INT($AK56/12)*(1-MIN(1,24/$V56)*MOD($AK56,12)/12))),IF($W56="SYD",IF(N($V56)&lt;=0,0,($S56-N($U56))*(INT(MIN($AK56,$V56)/12)*(2*($V56/12)-INT(MIN($AK56,$V56)/12)+1)/2+MOD(MIN($AK56,$V56),12)/12*(($V56/12)-INT(MIN($AK56,$V56)/12)))/(($V56/12)*(($V56/12)+1)/2)),0))))),2))</f>
        <v/>
      </c>
      <c r="AM56" s="23">
        <f>IF($X56="","",$X56-$AL56)</f>
        <v/>
      </c>
      <c r="AN56" s="23">
        <f>IF(OR($AH56="",$Y56=""),"",N($AI56)-$Y56)</f>
        <v/>
      </c>
    </row>
    <row r="57">
      <c r="Q57" s="20" t="n"/>
      <c r="R57" s="20" t="n"/>
      <c r="S57" s="21" t="n"/>
      <c r="U57" s="21" t="n"/>
      <c r="V57" s="22" t="n"/>
      <c r="X57" s="23">
        <f>IF(OR($S57="",$R57=""),"",ROUND(MAX(0,IF($W57="Straight-line",IF(N($V57)&lt;=0,0,($S57-N($U57))*MIN($AJ57,$V57)/$V57),IF($W57="Reducing balance",MIN(($S57-N($U57)),$S57-$S57*(1-N($AG57))^INT($AJ57/12)*(1-N($AG57)*MOD($AJ57,12)/12)),IF($W57="DDB",IF(N($V57)&lt;=0,0,MIN(($S57-N($U57)),$S57-$S57*(1-MIN(1,24/$V57))^INT($AJ57/12)*(1-MIN(1,24/$V57)*MOD($AJ57,12)/12))),IF($W57="SYD",IF(N($V57)&lt;=0,0,($S57-N($U57))*(INT(MIN($AJ57,$V57)/12)*(2*($V57/12)-INT(MIN($AJ57,$V57)/12)+1)/2+MOD(MIN($AJ57,$V57),12)/12*(($V57/12)-INT(MIN($AJ57,$V57)/12)))/(($V57/12)*(($V57/12)+1)/2)),0))))),2))</f>
        <v/>
      </c>
      <c r="Y57" s="23">
        <f>IF($X57="","",$S57-$X57)</f>
        <v/>
      </c>
      <c r="AD57" s="20" t="n"/>
      <c r="AG57" s="24" t="n"/>
      <c r="AH57" s="20" t="n"/>
      <c r="AI57" s="21" t="n"/>
      <c r="AJ57" s="25">
        <f>IF($R57="","",IF($R57&gt;IF($AH57&lt;&gt;"",MIN($AH57,Settings!$B$3),Settings!$B$3),0,(YEAR(IF($AH57&lt;&gt;"",MIN($AH57,Settings!$B$3),Settings!$B$3))-YEAR($R57))*12+MONTH(IF($AH57&lt;&gt;"",MIN($AH57,Settings!$B$3),Settings!$B$3))-MONTH($R57)+1))</f>
        <v/>
      </c>
      <c r="AK57" s="25">
        <f>IF($R57="","",IF($R57&gt;MIN(Settings!$B$4-1,IF($AH57&lt;&gt;"",MIN($AH57,Settings!$B$3),Settings!$B$3)),0,(YEAR(MIN(Settings!$B$4-1,IF($AH57&lt;&gt;"",MIN($AH57,Settings!$B$3),Settings!$B$3)))-YEAR($R57))*12+MONTH(MIN(Settings!$B$4-1,IF($AH57&lt;&gt;"",MIN($AH57,Settings!$B$3),Settings!$B$3)))-MONTH($R57)+1))</f>
        <v/>
      </c>
      <c r="AL57" s="23">
        <f>IF(OR($S57="",$R57=""),"",ROUND(MAX(0,IF($W57="Straight-line",IF(N($V57)&lt;=0,0,($S57-N($U57))*MIN($AK57,$V57)/$V57),IF($W57="Reducing balance",MIN(($S57-N($U57)),$S57-$S57*(1-N($AG57))^INT($AK57/12)*(1-N($AG57)*MOD($AK57,12)/12)),IF($W57="DDB",IF(N($V57)&lt;=0,0,MIN(($S57-N($U57)),$S57-$S57*(1-MIN(1,24/$V57))^INT($AK57/12)*(1-MIN(1,24/$V57)*MOD($AK57,12)/12))),IF($W57="SYD",IF(N($V57)&lt;=0,0,($S57-N($U57))*(INT(MIN($AK57,$V57)/12)*(2*($V57/12)-INT(MIN($AK57,$V57)/12)+1)/2+MOD(MIN($AK57,$V57),12)/12*(($V57/12)-INT(MIN($AK57,$V57)/12)))/(($V57/12)*(($V57/12)+1)/2)),0))))),2))</f>
        <v/>
      </c>
      <c r="AM57" s="23">
        <f>IF($X57="","",$X57-$AL57)</f>
        <v/>
      </c>
      <c r="AN57" s="23">
        <f>IF(OR($AH57="",$Y57=""),"",N($AI57)-$Y57)</f>
        <v/>
      </c>
    </row>
    <row r="58">
      <c r="Q58" s="20" t="n"/>
      <c r="R58" s="20" t="n"/>
      <c r="S58" s="21" t="n"/>
      <c r="U58" s="21" t="n"/>
      <c r="V58" s="22" t="n"/>
      <c r="X58" s="23">
        <f>IF(OR($S58="",$R58=""),"",ROUND(MAX(0,IF($W58="Straight-line",IF(N($V58)&lt;=0,0,($S58-N($U58))*MIN($AJ58,$V58)/$V58),IF($W58="Reducing balance",MIN(($S58-N($U58)),$S58-$S58*(1-N($AG58))^INT($AJ58/12)*(1-N($AG58)*MOD($AJ58,12)/12)),IF($W58="DDB",IF(N($V58)&lt;=0,0,MIN(($S58-N($U58)),$S58-$S58*(1-MIN(1,24/$V58))^INT($AJ58/12)*(1-MIN(1,24/$V58)*MOD($AJ58,12)/12))),IF($W58="SYD",IF(N($V58)&lt;=0,0,($S58-N($U58))*(INT(MIN($AJ58,$V58)/12)*(2*($V58/12)-INT(MIN($AJ58,$V58)/12)+1)/2+MOD(MIN($AJ58,$V58),12)/12*(($V58/12)-INT(MIN($AJ58,$V58)/12)))/(($V58/12)*(($V58/12)+1)/2)),0))))),2))</f>
        <v/>
      </c>
      <c r="Y58" s="23">
        <f>IF($X58="","",$S58-$X58)</f>
        <v/>
      </c>
      <c r="AD58" s="20" t="n"/>
      <c r="AG58" s="24" t="n"/>
      <c r="AH58" s="20" t="n"/>
      <c r="AI58" s="21" t="n"/>
      <c r="AJ58" s="25">
        <f>IF($R58="","",IF($R58&gt;IF($AH58&lt;&gt;"",MIN($AH58,Settings!$B$3),Settings!$B$3),0,(YEAR(IF($AH58&lt;&gt;"",MIN($AH58,Settings!$B$3),Settings!$B$3))-YEAR($R58))*12+MONTH(IF($AH58&lt;&gt;"",MIN($AH58,Settings!$B$3),Settings!$B$3))-MONTH($R58)+1))</f>
        <v/>
      </c>
      <c r="AK58" s="25">
        <f>IF($R58="","",IF($R58&gt;MIN(Settings!$B$4-1,IF($AH58&lt;&gt;"",MIN($AH58,Settings!$B$3),Settings!$B$3)),0,(YEAR(MIN(Settings!$B$4-1,IF($AH58&lt;&gt;"",MIN($AH58,Settings!$B$3),Settings!$B$3)))-YEAR($R58))*12+MONTH(MIN(Settings!$B$4-1,IF($AH58&lt;&gt;"",MIN($AH58,Settings!$B$3),Settings!$B$3)))-MONTH($R58)+1))</f>
        <v/>
      </c>
      <c r="AL58" s="23">
        <f>IF(OR($S58="",$R58=""),"",ROUND(MAX(0,IF($W58="Straight-line",IF(N($V58)&lt;=0,0,($S58-N($U58))*MIN($AK58,$V58)/$V58),IF($W58="Reducing balance",MIN(($S58-N($U58)),$S58-$S58*(1-N($AG58))^INT($AK58/12)*(1-N($AG58)*MOD($AK58,12)/12)),IF($W58="DDB",IF(N($V58)&lt;=0,0,MIN(($S58-N($U58)),$S58-$S58*(1-MIN(1,24/$V58))^INT($AK58/12)*(1-MIN(1,24/$V58)*MOD($AK58,12)/12))),IF($W58="SYD",IF(N($V58)&lt;=0,0,($S58-N($U58))*(INT(MIN($AK58,$V58)/12)*(2*($V58/12)-INT(MIN($AK58,$V58)/12)+1)/2+MOD(MIN($AK58,$V58),12)/12*(($V58/12)-INT(MIN($AK58,$V58)/12)))/(($V58/12)*(($V58/12)+1)/2)),0))))),2))</f>
        <v/>
      </c>
      <c r="AM58" s="23">
        <f>IF($X58="","",$X58-$AL58)</f>
        <v/>
      </c>
      <c r="AN58" s="23">
        <f>IF(OR($AH58="",$Y58=""),"",N($AI58)-$Y58)</f>
        <v/>
      </c>
    </row>
    <row r="59">
      <c r="Q59" s="20" t="n"/>
      <c r="R59" s="20" t="n"/>
      <c r="S59" s="21" t="n"/>
      <c r="U59" s="21" t="n"/>
      <c r="V59" s="22" t="n"/>
      <c r="X59" s="23">
        <f>IF(OR($S59="",$R59=""),"",ROUND(MAX(0,IF($W59="Straight-line",IF(N($V59)&lt;=0,0,($S59-N($U59))*MIN($AJ59,$V59)/$V59),IF($W59="Reducing balance",MIN(($S59-N($U59)),$S59-$S59*(1-N($AG59))^INT($AJ59/12)*(1-N($AG59)*MOD($AJ59,12)/12)),IF($W59="DDB",IF(N($V59)&lt;=0,0,MIN(($S59-N($U59)),$S59-$S59*(1-MIN(1,24/$V59))^INT($AJ59/12)*(1-MIN(1,24/$V59)*MOD($AJ59,12)/12))),IF($W59="SYD",IF(N($V59)&lt;=0,0,($S59-N($U59))*(INT(MIN($AJ59,$V59)/12)*(2*($V59/12)-INT(MIN($AJ59,$V59)/12)+1)/2+MOD(MIN($AJ59,$V59),12)/12*(($V59/12)-INT(MIN($AJ59,$V59)/12)))/(($V59/12)*(($V59/12)+1)/2)),0))))),2))</f>
        <v/>
      </c>
      <c r="Y59" s="23">
        <f>IF($X59="","",$S59-$X59)</f>
        <v/>
      </c>
      <c r="AD59" s="20" t="n"/>
      <c r="AG59" s="24" t="n"/>
      <c r="AH59" s="20" t="n"/>
      <c r="AI59" s="21" t="n"/>
      <c r="AJ59" s="25">
        <f>IF($R59="","",IF($R59&gt;IF($AH59&lt;&gt;"",MIN($AH59,Settings!$B$3),Settings!$B$3),0,(YEAR(IF($AH59&lt;&gt;"",MIN($AH59,Settings!$B$3),Settings!$B$3))-YEAR($R59))*12+MONTH(IF($AH59&lt;&gt;"",MIN($AH59,Settings!$B$3),Settings!$B$3))-MONTH($R59)+1))</f>
        <v/>
      </c>
      <c r="AK59" s="25">
        <f>IF($R59="","",IF($R59&gt;MIN(Settings!$B$4-1,IF($AH59&lt;&gt;"",MIN($AH59,Settings!$B$3),Settings!$B$3)),0,(YEAR(MIN(Settings!$B$4-1,IF($AH59&lt;&gt;"",MIN($AH59,Settings!$B$3),Settings!$B$3)))-YEAR($R59))*12+MONTH(MIN(Settings!$B$4-1,IF($AH59&lt;&gt;"",MIN($AH59,Settings!$B$3),Settings!$B$3)))-MONTH($R59)+1))</f>
        <v/>
      </c>
      <c r="AL59" s="23">
        <f>IF(OR($S59="",$R59=""),"",ROUND(MAX(0,IF($W59="Straight-line",IF(N($V59)&lt;=0,0,($S59-N($U59))*MIN($AK59,$V59)/$V59),IF($W59="Reducing balance",MIN(($S59-N($U59)),$S59-$S59*(1-N($AG59))^INT($AK59/12)*(1-N($AG59)*MOD($AK59,12)/12)),IF($W59="DDB",IF(N($V59)&lt;=0,0,MIN(($S59-N($U59)),$S59-$S59*(1-MIN(1,24/$V59))^INT($AK59/12)*(1-MIN(1,24/$V59)*MOD($AK59,12)/12))),IF($W59="SYD",IF(N($V59)&lt;=0,0,($S59-N($U59))*(INT(MIN($AK59,$V59)/12)*(2*($V59/12)-INT(MIN($AK59,$V59)/12)+1)/2+MOD(MIN($AK59,$V59),12)/12*(($V59/12)-INT(MIN($AK59,$V59)/12)))/(($V59/12)*(($V59/12)+1)/2)),0))))),2))</f>
        <v/>
      </c>
      <c r="AM59" s="23">
        <f>IF($X59="","",$X59-$AL59)</f>
        <v/>
      </c>
      <c r="AN59" s="23">
        <f>IF(OR($AH59="",$Y59=""),"",N($AI59)-$Y59)</f>
        <v/>
      </c>
    </row>
    <row r="60">
      <c r="Q60" s="20" t="n"/>
      <c r="R60" s="20" t="n"/>
      <c r="S60" s="21" t="n"/>
      <c r="U60" s="21" t="n"/>
      <c r="V60" s="22" t="n"/>
      <c r="X60" s="23">
        <f>IF(OR($S60="",$R60=""),"",ROUND(MAX(0,IF($W60="Straight-line",IF(N($V60)&lt;=0,0,($S60-N($U60))*MIN($AJ60,$V60)/$V60),IF($W60="Reducing balance",MIN(($S60-N($U60)),$S60-$S60*(1-N($AG60))^INT($AJ60/12)*(1-N($AG60)*MOD($AJ60,12)/12)),IF($W60="DDB",IF(N($V60)&lt;=0,0,MIN(($S60-N($U60)),$S60-$S60*(1-MIN(1,24/$V60))^INT($AJ60/12)*(1-MIN(1,24/$V60)*MOD($AJ60,12)/12))),IF($W60="SYD",IF(N($V60)&lt;=0,0,($S60-N($U60))*(INT(MIN($AJ60,$V60)/12)*(2*($V60/12)-INT(MIN($AJ60,$V60)/12)+1)/2+MOD(MIN($AJ60,$V60),12)/12*(($V60/12)-INT(MIN($AJ60,$V60)/12)))/(($V60/12)*(($V60/12)+1)/2)),0))))),2))</f>
        <v/>
      </c>
      <c r="Y60" s="23">
        <f>IF($X60="","",$S60-$X60)</f>
        <v/>
      </c>
      <c r="AD60" s="20" t="n"/>
      <c r="AG60" s="24" t="n"/>
      <c r="AH60" s="20" t="n"/>
      <c r="AI60" s="21" t="n"/>
      <c r="AJ60" s="25">
        <f>IF($R60="","",IF($R60&gt;IF($AH60&lt;&gt;"",MIN($AH60,Settings!$B$3),Settings!$B$3),0,(YEAR(IF($AH60&lt;&gt;"",MIN($AH60,Settings!$B$3),Settings!$B$3))-YEAR($R60))*12+MONTH(IF($AH60&lt;&gt;"",MIN($AH60,Settings!$B$3),Settings!$B$3))-MONTH($R60)+1))</f>
        <v/>
      </c>
      <c r="AK60" s="25">
        <f>IF($R60="","",IF($R60&gt;MIN(Settings!$B$4-1,IF($AH60&lt;&gt;"",MIN($AH60,Settings!$B$3),Settings!$B$3)),0,(YEAR(MIN(Settings!$B$4-1,IF($AH60&lt;&gt;"",MIN($AH60,Settings!$B$3),Settings!$B$3)))-YEAR($R60))*12+MONTH(MIN(Settings!$B$4-1,IF($AH60&lt;&gt;"",MIN($AH60,Settings!$B$3),Settings!$B$3)))-MONTH($R60)+1))</f>
        <v/>
      </c>
      <c r="AL60" s="23">
        <f>IF(OR($S60="",$R60=""),"",ROUND(MAX(0,IF($W60="Straight-line",IF(N($V60)&lt;=0,0,($S60-N($U60))*MIN($AK60,$V60)/$V60),IF($W60="Reducing balance",MIN(($S60-N($U60)),$S60-$S60*(1-N($AG60))^INT($AK60/12)*(1-N($AG60)*MOD($AK60,12)/12)),IF($W60="DDB",IF(N($V60)&lt;=0,0,MIN(($S60-N($U60)),$S60-$S60*(1-MIN(1,24/$V60))^INT($AK60/12)*(1-MIN(1,24/$V60)*MOD($AK60,12)/12))),IF($W60="SYD",IF(N($V60)&lt;=0,0,($S60-N($U60))*(INT(MIN($AK60,$V60)/12)*(2*($V60/12)-INT(MIN($AK60,$V60)/12)+1)/2+MOD(MIN($AK60,$V60),12)/12*(($V60/12)-INT(MIN($AK60,$V60)/12)))/(($V60/12)*(($V60/12)+1)/2)),0))))),2))</f>
        <v/>
      </c>
      <c r="AM60" s="23">
        <f>IF($X60="","",$X60-$AL60)</f>
        <v/>
      </c>
      <c r="AN60" s="23">
        <f>IF(OR($AH60="",$Y60=""),"",N($AI60)-$Y60)</f>
        <v/>
      </c>
    </row>
    <row r="61">
      <c r="Q61" s="20" t="n"/>
      <c r="R61" s="20" t="n"/>
      <c r="S61" s="21" t="n"/>
      <c r="U61" s="21" t="n"/>
      <c r="V61" s="22" t="n"/>
      <c r="X61" s="23">
        <f>IF(OR($S61="",$R61=""),"",ROUND(MAX(0,IF($W61="Straight-line",IF(N($V61)&lt;=0,0,($S61-N($U61))*MIN($AJ61,$V61)/$V61),IF($W61="Reducing balance",MIN(($S61-N($U61)),$S61-$S61*(1-N($AG61))^INT($AJ61/12)*(1-N($AG61)*MOD($AJ61,12)/12)),IF($W61="DDB",IF(N($V61)&lt;=0,0,MIN(($S61-N($U61)),$S61-$S61*(1-MIN(1,24/$V61))^INT($AJ61/12)*(1-MIN(1,24/$V61)*MOD($AJ61,12)/12))),IF($W61="SYD",IF(N($V61)&lt;=0,0,($S61-N($U61))*(INT(MIN($AJ61,$V61)/12)*(2*($V61/12)-INT(MIN($AJ61,$V61)/12)+1)/2+MOD(MIN($AJ61,$V61),12)/12*(($V61/12)-INT(MIN($AJ61,$V61)/12)))/(($V61/12)*(($V61/12)+1)/2)),0))))),2))</f>
        <v/>
      </c>
      <c r="Y61" s="23">
        <f>IF($X61="","",$S61-$X61)</f>
        <v/>
      </c>
      <c r="AD61" s="20" t="n"/>
      <c r="AG61" s="24" t="n"/>
      <c r="AH61" s="20" t="n"/>
      <c r="AI61" s="21" t="n"/>
      <c r="AJ61" s="25">
        <f>IF($R61="","",IF($R61&gt;IF($AH61&lt;&gt;"",MIN($AH61,Settings!$B$3),Settings!$B$3),0,(YEAR(IF($AH61&lt;&gt;"",MIN($AH61,Settings!$B$3),Settings!$B$3))-YEAR($R61))*12+MONTH(IF($AH61&lt;&gt;"",MIN($AH61,Settings!$B$3),Settings!$B$3))-MONTH($R61)+1))</f>
        <v/>
      </c>
      <c r="AK61" s="25">
        <f>IF($R61="","",IF($R61&gt;MIN(Settings!$B$4-1,IF($AH61&lt;&gt;"",MIN($AH61,Settings!$B$3),Settings!$B$3)),0,(YEAR(MIN(Settings!$B$4-1,IF($AH61&lt;&gt;"",MIN($AH61,Settings!$B$3),Settings!$B$3)))-YEAR($R61))*12+MONTH(MIN(Settings!$B$4-1,IF($AH61&lt;&gt;"",MIN($AH61,Settings!$B$3),Settings!$B$3)))-MONTH($R61)+1))</f>
        <v/>
      </c>
      <c r="AL61" s="23">
        <f>IF(OR($S61="",$R61=""),"",ROUND(MAX(0,IF($W61="Straight-line",IF(N($V61)&lt;=0,0,($S61-N($U61))*MIN($AK61,$V61)/$V61),IF($W61="Reducing balance",MIN(($S61-N($U61)),$S61-$S61*(1-N($AG61))^INT($AK61/12)*(1-N($AG61)*MOD($AK61,12)/12)),IF($W61="DDB",IF(N($V61)&lt;=0,0,MIN(($S61-N($U61)),$S61-$S61*(1-MIN(1,24/$V61))^INT($AK61/12)*(1-MIN(1,24/$V61)*MOD($AK61,12)/12))),IF($W61="SYD",IF(N($V61)&lt;=0,0,($S61-N($U61))*(INT(MIN($AK61,$V61)/12)*(2*($V61/12)-INT(MIN($AK61,$V61)/12)+1)/2+MOD(MIN($AK61,$V61),12)/12*(($V61/12)-INT(MIN($AK61,$V61)/12)))/(($V61/12)*(($V61/12)+1)/2)),0))))),2))</f>
        <v/>
      </c>
      <c r="AM61" s="23">
        <f>IF($X61="","",$X61-$AL61)</f>
        <v/>
      </c>
      <c r="AN61" s="23">
        <f>IF(OR($AH61="",$Y61=""),"",N($AI61)-$Y61)</f>
        <v/>
      </c>
    </row>
    <row r="62">
      <c r="Q62" s="20" t="n"/>
      <c r="R62" s="20" t="n"/>
      <c r="S62" s="21" t="n"/>
      <c r="U62" s="21" t="n"/>
      <c r="V62" s="22" t="n"/>
      <c r="X62" s="23">
        <f>IF(OR($S62="",$R62=""),"",ROUND(MAX(0,IF($W62="Straight-line",IF(N($V62)&lt;=0,0,($S62-N($U62))*MIN($AJ62,$V62)/$V62),IF($W62="Reducing balance",MIN(($S62-N($U62)),$S62-$S62*(1-N($AG62))^INT($AJ62/12)*(1-N($AG62)*MOD($AJ62,12)/12)),IF($W62="DDB",IF(N($V62)&lt;=0,0,MIN(($S62-N($U62)),$S62-$S62*(1-MIN(1,24/$V62))^INT($AJ62/12)*(1-MIN(1,24/$V62)*MOD($AJ62,12)/12))),IF($W62="SYD",IF(N($V62)&lt;=0,0,($S62-N($U62))*(INT(MIN($AJ62,$V62)/12)*(2*($V62/12)-INT(MIN($AJ62,$V62)/12)+1)/2+MOD(MIN($AJ62,$V62),12)/12*(($V62/12)-INT(MIN($AJ62,$V62)/12)))/(($V62/12)*(($V62/12)+1)/2)),0))))),2))</f>
        <v/>
      </c>
      <c r="Y62" s="23">
        <f>IF($X62="","",$S62-$X62)</f>
        <v/>
      </c>
      <c r="AD62" s="20" t="n"/>
      <c r="AG62" s="24" t="n"/>
      <c r="AH62" s="20" t="n"/>
      <c r="AI62" s="21" t="n"/>
      <c r="AJ62" s="25">
        <f>IF($R62="","",IF($R62&gt;IF($AH62&lt;&gt;"",MIN($AH62,Settings!$B$3),Settings!$B$3),0,(YEAR(IF($AH62&lt;&gt;"",MIN($AH62,Settings!$B$3),Settings!$B$3))-YEAR($R62))*12+MONTH(IF($AH62&lt;&gt;"",MIN($AH62,Settings!$B$3),Settings!$B$3))-MONTH($R62)+1))</f>
        <v/>
      </c>
      <c r="AK62" s="25">
        <f>IF($R62="","",IF($R62&gt;MIN(Settings!$B$4-1,IF($AH62&lt;&gt;"",MIN($AH62,Settings!$B$3),Settings!$B$3)),0,(YEAR(MIN(Settings!$B$4-1,IF($AH62&lt;&gt;"",MIN($AH62,Settings!$B$3),Settings!$B$3)))-YEAR($R62))*12+MONTH(MIN(Settings!$B$4-1,IF($AH62&lt;&gt;"",MIN($AH62,Settings!$B$3),Settings!$B$3)))-MONTH($R62)+1))</f>
        <v/>
      </c>
      <c r="AL62" s="23">
        <f>IF(OR($S62="",$R62=""),"",ROUND(MAX(0,IF($W62="Straight-line",IF(N($V62)&lt;=0,0,($S62-N($U62))*MIN($AK62,$V62)/$V62),IF($W62="Reducing balance",MIN(($S62-N($U62)),$S62-$S62*(1-N($AG62))^INT($AK62/12)*(1-N($AG62)*MOD($AK62,12)/12)),IF($W62="DDB",IF(N($V62)&lt;=0,0,MIN(($S62-N($U62)),$S62-$S62*(1-MIN(1,24/$V62))^INT($AK62/12)*(1-MIN(1,24/$V62)*MOD($AK62,12)/12))),IF($W62="SYD",IF(N($V62)&lt;=0,0,($S62-N($U62))*(INT(MIN($AK62,$V62)/12)*(2*($V62/12)-INT(MIN($AK62,$V62)/12)+1)/2+MOD(MIN($AK62,$V62),12)/12*(($V62/12)-INT(MIN($AK62,$V62)/12)))/(($V62/12)*(($V62/12)+1)/2)),0))))),2))</f>
        <v/>
      </c>
      <c r="AM62" s="23">
        <f>IF($X62="","",$X62-$AL62)</f>
        <v/>
      </c>
      <c r="AN62" s="23">
        <f>IF(OR($AH62="",$Y62=""),"",N($AI62)-$Y62)</f>
        <v/>
      </c>
    </row>
    <row r="63">
      <c r="Q63" s="20" t="n"/>
      <c r="R63" s="20" t="n"/>
      <c r="S63" s="21" t="n"/>
      <c r="U63" s="21" t="n"/>
      <c r="V63" s="22" t="n"/>
      <c r="X63" s="23">
        <f>IF(OR($S63="",$R63=""),"",ROUND(MAX(0,IF($W63="Straight-line",IF(N($V63)&lt;=0,0,($S63-N($U63))*MIN($AJ63,$V63)/$V63),IF($W63="Reducing balance",MIN(($S63-N($U63)),$S63-$S63*(1-N($AG63))^INT($AJ63/12)*(1-N($AG63)*MOD($AJ63,12)/12)),IF($W63="DDB",IF(N($V63)&lt;=0,0,MIN(($S63-N($U63)),$S63-$S63*(1-MIN(1,24/$V63))^INT($AJ63/12)*(1-MIN(1,24/$V63)*MOD($AJ63,12)/12))),IF($W63="SYD",IF(N($V63)&lt;=0,0,($S63-N($U63))*(INT(MIN($AJ63,$V63)/12)*(2*($V63/12)-INT(MIN($AJ63,$V63)/12)+1)/2+MOD(MIN($AJ63,$V63),12)/12*(($V63/12)-INT(MIN($AJ63,$V63)/12)))/(($V63/12)*(($V63/12)+1)/2)),0))))),2))</f>
        <v/>
      </c>
      <c r="Y63" s="23">
        <f>IF($X63="","",$S63-$X63)</f>
        <v/>
      </c>
      <c r="AD63" s="20" t="n"/>
      <c r="AG63" s="24" t="n"/>
      <c r="AH63" s="20" t="n"/>
      <c r="AI63" s="21" t="n"/>
      <c r="AJ63" s="25">
        <f>IF($R63="","",IF($R63&gt;IF($AH63&lt;&gt;"",MIN($AH63,Settings!$B$3),Settings!$B$3),0,(YEAR(IF($AH63&lt;&gt;"",MIN($AH63,Settings!$B$3),Settings!$B$3))-YEAR($R63))*12+MONTH(IF($AH63&lt;&gt;"",MIN($AH63,Settings!$B$3),Settings!$B$3))-MONTH($R63)+1))</f>
        <v/>
      </c>
      <c r="AK63" s="25">
        <f>IF($R63="","",IF($R63&gt;MIN(Settings!$B$4-1,IF($AH63&lt;&gt;"",MIN($AH63,Settings!$B$3),Settings!$B$3)),0,(YEAR(MIN(Settings!$B$4-1,IF($AH63&lt;&gt;"",MIN($AH63,Settings!$B$3),Settings!$B$3)))-YEAR($R63))*12+MONTH(MIN(Settings!$B$4-1,IF($AH63&lt;&gt;"",MIN($AH63,Settings!$B$3),Settings!$B$3)))-MONTH($R63)+1))</f>
        <v/>
      </c>
      <c r="AL63" s="23">
        <f>IF(OR($S63="",$R63=""),"",ROUND(MAX(0,IF($W63="Straight-line",IF(N($V63)&lt;=0,0,($S63-N($U63))*MIN($AK63,$V63)/$V63),IF($W63="Reducing balance",MIN(($S63-N($U63)),$S63-$S63*(1-N($AG63))^INT($AK63/12)*(1-N($AG63)*MOD($AK63,12)/12)),IF($W63="DDB",IF(N($V63)&lt;=0,0,MIN(($S63-N($U63)),$S63-$S63*(1-MIN(1,24/$V63))^INT($AK63/12)*(1-MIN(1,24/$V63)*MOD($AK63,12)/12))),IF($W63="SYD",IF(N($V63)&lt;=0,0,($S63-N($U63))*(INT(MIN($AK63,$V63)/12)*(2*($V63/12)-INT(MIN($AK63,$V63)/12)+1)/2+MOD(MIN($AK63,$V63),12)/12*(($V63/12)-INT(MIN($AK63,$V63)/12)))/(($V63/12)*(($V63/12)+1)/2)),0))))),2))</f>
        <v/>
      </c>
      <c r="AM63" s="23">
        <f>IF($X63="","",$X63-$AL63)</f>
        <v/>
      </c>
      <c r="AN63" s="23">
        <f>IF(OR($AH63="",$Y63=""),"",N($AI63)-$Y63)</f>
        <v/>
      </c>
    </row>
    <row r="64">
      <c r="Q64" s="20" t="n"/>
      <c r="R64" s="20" t="n"/>
      <c r="S64" s="21" t="n"/>
      <c r="U64" s="21" t="n"/>
      <c r="V64" s="22" t="n"/>
      <c r="X64" s="23">
        <f>IF(OR($S64="",$R64=""),"",ROUND(MAX(0,IF($W64="Straight-line",IF(N($V64)&lt;=0,0,($S64-N($U64))*MIN($AJ64,$V64)/$V64),IF($W64="Reducing balance",MIN(($S64-N($U64)),$S64-$S64*(1-N($AG64))^INT($AJ64/12)*(1-N($AG64)*MOD($AJ64,12)/12)),IF($W64="DDB",IF(N($V64)&lt;=0,0,MIN(($S64-N($U64)),$S64-$S64*(1-MIN(1,24/$V64))^INT($AJ64/12)*(1-MIN(1,24/$V64)*MOD($AJ64,12)/12))),IF($W64="SYD",IF(N($V64)&lt;=0,0,($S64-N($U64))*(INT(MIN($AJ64,$V64)/12)*(2*($V64/12)-INT(MIN($AJ64,$V64)/12)+1)/2+MOD(MIN($AJ64,$V64),12)/12*(($V64/12)-INT(MIN($AJ64,$V64)/12)))/(($V64/12)*(($V64/12)+1)/2)),0))))),2))</f>
        <v/>
      </c>
      <c r="Y64" s="23">
        <f>IF($X64="","",$S64-$X64)</f>
        <v/>
      </c>
      <c r="AD64" s="20" t="n"/>
      <c r="AG64" s="24" t="n"/>
      <c r="AH64" s="20" t="n"/>
      <c r="AI64" s="21" t="n"/>
      <c r="AJ64" s="25">
        <f>IF($R64="","",IF($R64&gt;IF($AH64&lt;&gt;"",MIN($AH64,Settings!$B$3),Settings!$B$3),0,(YEAR(IF($AH64&lt;&gt;"",MIN($AH64,Settings!$B$3),Settings!$B$3))-YEAR($R64))*12+MONTH(IF($AH64&lt;&gt;"",MIN($AH64,Settings!$B$3),Settings!$B$3))-MONTH($R64)+1))</f>
        <v/>
      </c>
      <c r="AK64" s="25">
        <f>IF($R64="","",IF($R64&gt;MIN(Settings!$B$4-1,IF($AH64&lt;&gt;"",MIN($AH64,Settings!$B$3),Settings!$B$3)),0,(YEAR(MIN(Settings!$B$4-1,IF($AH64&lt;&gt;"",MIN($AH64,Settings!$B$3),Settings!$B$3)))-YEAR($R64))*12+MONTH(MIN(Settings!$B$4-1,IF($AH64&lt;&gt;"",MIN($AH64,Settings!$B$3),Settings!$B$3)))-MONTH($R64)+1))</f>
        <v/>
      </c>
      <c r="AL64" s="23">
        <f>IF(OR($S64="",$R64=""),"",ROUND(MAX(0,IF($W64="Straight-line",IF(N($V64)&lt;=0,0,($S64-N($U64))*MIN($AK64,$V64)/$V64),IF($W64="Reducing balance",MIN(($S64-N($U64)),$S64-$S64*(1-N($AG64))^INT($AK64/12)*(1-N($AG64)*MOD($AK64,12)/12)),IF($W64="DDB",IF(N($V64)&lt;=0,0,MIN(($S64-N($U64)),$S64-$S64*(1-MIN(1,24/$V64))^INT($AK64/12)*(1-MIN(1,24/$V64)*MOD($AK64,12)/12))),IF($W64="SYD",IF(N($V64)&lt;=0,0,($S64-N($U64))*(INT(MIN($AK64,$V64)/12)*(2*($V64/12)-INT(MIN($AK64,$V64)/12)+1)/2+MOD(MIN($AK64,$V64),12)/12*(($V64/12)-INT(MIN($AK64,$V64)/12)))/(($V64/12)*(($V64/12)+1)/2)),0))))),2))</f>
        <v/>
      </c>
      <c r="AM64" s="23">
        <f>IF($X64="","",$X64-$AL64)</f>
        <v/>
      </c>
      <c r="AN64" s="23">
        <f>IF(OR($AH64="",$Y64=""),"",N($AI64)-$Y64)</f>
        <v/>
      </c>
    </row>
    <row r="65">
      <c r="Q65" s="20" t="n"/>
      <c r="R65" s="20" t="n"/>
      <c r="S65" s="21" t="n"/>
      <c r="U65" s="21" t="n"/>
      <c r="V65" s="22" t="n"/>
      <c r="X65" s="23">
        <f>IF(OR($S65="",$R65=""),"",ROUND(MAX(0,IF($W65="Straight-line",IF(N($V65)&lt;=0,0,($S65-N($U65))*MIN($AJ65,$V65)/$V65),IF($W65="Reducing balance",MIN(($S65-N($U65)),$S65-$S65*(1-N($AG65))^INT($AJ65/12)*(1-N($AG65)*MOD($AJ65,12)/12)),IF($W65="DDB",IF(N($V65)&lt;=0,0,MIN(($S65-N($U65)),$S65-$S65*(1-MIN(1,24/$V65))^INT($AJ65/12)*(1-MIN(1,24/$V65)*MOD($AJ65,12)/12))),IF($W65="SYD",IF(N($V65)&lt;=0,0,($S65-N($U65))*(INT(MIN($AJ65,$V65)/12)*(2*($V65/12)-INT(MIN($AJ65,$V65)/12)+1)/2+MOD(MIN($AJ65,$V65),12)/12*(($V65/12)-INT(MIN($AJ65,$V65)/12)))/(($V65/12)*(($V65/12)+1)/2)),0))))),2))</f>
        <v/>
      </c>
      <c r="Y65" s="23">
        <f>IF($X65="","",$S65-$X65)</f>
        <v/>
      </c>
      <c r="AD65" s="20" t="n"/>
      <c r="AG65" s="24" t="n"/>
      <c r="AH65" s="20" t="n"/>
      <c r="AI65" s="21" t="n"/>
      <c r="AJ65" s="25">
        <f>IF($R65="","",IF($R65&gt;IF($AH65&lt;&gt;"",MIN($AH65,Settings!$B$3),Settings!$B$3),0,(YEAR(IF($AH65&lt;&gt;"",MIN($AH65,Settings!$B$3),Settings!$B$3))-YEAR($R65))*12+MONTH(IF($AH65&lt;&gt;"",MIN($AH65,Settings!$B$3),Settings!$B$3))-MONTH($R65)+1))</f>
        <v/>
      </c>
      <c r="AK65" s="25">
        <f>IF($R65="","",IF($R65&gt;MIN(Settings!$B$4-1,IF($AH65&lt;&gt;"",MIN($AH65,Settings!$B$3),Settings!$B$3)),0,(YEAR(MIN(Settings!$B$4-1,IF($AH65&lt;&gt;"",MIN($AH65,Settings!$B$3),Settings!$B$3)))-YEAR($R65))*12+MONTH(MIN(Settings!$B$4-1,IF($AH65&lt;&gt;"",MIN($AH65,Settings!$B$3),Settings!$B$3)))-MONTH($R65)+1))</f>
        <v/>
      </c>
      <c r="AL65" s="23">
        <f>IF(OR($S65="",$R65=""),"",ROUND(MAX(0,IF($W65="Straight-line",IF(N($V65)&lt;=0,0,($S65-N($U65))*MIN($AK65,$V65)/$V65),IF($W65="Reducing balance",MIN(($S65-N($U65)),$S65-$S65*(1-N($AG65))^INT($AK65/12)*(1-N($AG65)*MOD($AK65,12)/12)),IF($W65="DDB",IF(N($V65)&lt;=0,0,MIN(($S65-N($U65)),$S65-$S65*(1-MIN(1,24/$V65))^INT($AK65/12)*(1-MIN(1,24/$V65)*MOD($AK65,12)/12))),IF($W65="SYD",IF(N($V65)&lt;=0,0,($S65-N($U65))*(INT(MIN($AK65,$V65)/12)*(2*($V65/12)-INT(MIN($AK65,$V65)/12)+1)/2+MOD(MIN($AK65,$V65),12)/12*(($V65/12)-INT(MIN($AK65,$V65)/12)))/(($V65/12)*(($V65/12)+1)/2)),0))))),2))</f>
        <v/>
      </c>
      <c r="AM65" s="23">
        <f>IF($X65="","",$X65-$AL65)</f>
        <v/>
      </c>
      <c r="AN65" s="23">
        <f>IF(OR($AH65="",$Y65=""),"",N($AI65)-$Y65)</f>
        <v/>
      </c>
    </row>
    <row r="66">
      <c r="Q66" s="20" t="n"/>
      <c r="R66" s="20" t="n"/>
      <c r="S66" s="21" t="n"/>
      <c r="U66" s="21" t="n"/>
      <c r="V66" s="22" t="n"/>
      <c r="X66" s="23">
        <f>IF(OR($S66="",$R66=""),"",ROUND(MAX(0,IF($W66="Straight-line",IF(N($V66)&lt;=0,0,($S66-N($U66))*MIN($AJ66,$V66)/$V66),IF($W66="Reducing balance",MIN(($S66-N($U66)),$S66-$S66*(1-N($AG66))^INT($AJ66/12)*(1-N($AG66)*MOD($AJ66,12)/12)),IF($W66="DDB",IF(N($V66)&lt;=0,0,MIN(($S66-N($U66)),$S66-$S66*(1-MIN(1,24/$V66))^INT($AJ66/12)*(1-MIN(1,24/$V66)*MOD($AJ66,12)/12))),IF($W66="SYD",IF(N($V66)&lt;=0,0,($S66-N($U66))*(INT(MIN($AJ66,$V66)/12)*(2*($V66/12)-INT(MIN($AJ66,$V66)/12)+1)/2+MOD(MIN($AJ66,$V66),12)/12*(($V66/12)-INT(MIN($AJ66,$V66)/12)))/(($V66/12)*(($V66/12)+1)/2)),0))))),2))</f>
        <v/>
      </c>
      <c r="Y66" s="23">
        <f>IF($X66="","",$S66-$X66)</f>
        <v/>
      </c>
      <c r="AD66" s="20" t="n"/>
      <c r="AG66" s="24" t="n"/>
      <c r="AH66" s="20" t="n"/>
      <c r="AI66" s="21" t="n"/>
      <c r="AJ66" s="25">
        <f>IF($R66="","",IF($R66&gt;IF($AH66&lt;&gt;"",MIN($AH66,Settings!$B$3),Settings!$B$3),0,(YEAR(IF($AH66&lt;&gt;"",MIN($AH66,Settings!$B$3),Settings!$B$3))-YEAR($R66))*12+MONTH(IF($AH66&lt;&gt;"",MIN($AH66,Settings!$B$3),Settings!$B$3))-MONTH($R66)+1))</f>
        <v/>
      </c>
      <c r="AK66" s="25">
        <f>IF($R66="","",IF($R66&gt;MIN(Settings!$B$4-1,IF($AH66&lt;&gt;"",MIN($AH66,Settings!$B$3),Settings!$B$3)),0,(YEAR(MIN(Settings!$B$4-1,IF($AH66&lt;&gt;"",MIN($AH66,Settings!$B$3),Settings!$B$3)))-YEAR($R66))*12+MONTH(MIN(Settings!$B$4-1,IF($AH66&lt;&gt;"",MIN($AH66,Settings!$B$3),Settings!$B$3)))-MONTH($R66)+1))</f>
        <v/>
      </c>
      <c r="AL66" s="23">
        <f>IF(OR($S66="",$R66=""),"",ROUND(MAX(0,IF($W66="Straight-line",IF(N($V66)&lt;=0,0,($S66-N($U66))*MIN($AK66,$V66)/$V66),IF($W66="Reducing balance",MIN(($S66-N($U66)),$S66-$S66*(1-N($AG66))^INT($AK66/12)*(1-N($AG66)*MOD($AK66,12)/12)),IF($W66="DDB",IF(N($V66)&lt;=0,0,MIN(($S66-N($U66)),$S66-$S66*(1-MIN(1,24/$V66))^INT($AK66/12)*(1-MIN(1,24/$V66)*MOD($AK66,12)/12))),IF($W66="SYD",IF(N($V66)&lt;=0,0,($S66-N($U66))*(INT(MIN($AK66,$V66)/12)*(2*($V66/12)-INT(MIN($AK66,$V66)/12)+1)/2+MOD(MIN($AK66,$V66),12)/12*(($V66/12)-INT(MIN($AK66,$V66)/12)))/(($V66/12)*(($V66/12)+1)/2)),0))))),2))</f>
        <v/>
      </c>
      <c r="AM66" s="23">
        <f>IF($X66="","",$X66-$AL66)</f>
        <v/>
      </c>
      <c r="AN66" s="23">
        <f>IF(OR($AH66="",$Y66=""),"",N($AI66)-$Y66)</f>
        <v/>
      </c>
    </row>
    <row r="67">
      <c r="Q67" s="20" t="n"/>
      <c r="R67" s="20" t="n"/>
      <c r="S67" s="21" t="n"/>
      <c r="U67" s="21" t="n"/>
      <c r="V67" s="22" t="n"/>
      <c r="X67" s="23">
        <f>IF(OR($S67="",$R67=""),"",ROUND(MAX(0,IF($W67="Straight-line",IF(N($V67)&lt;=0,0,($S67-N($U67))*MIN($AJ67,$V67)/$V67),IF($W67="Reducing balance",MIN(($S67-N($U67)),$S67-$S67*(1-N($AG67))^INT($AJ67/12)*(1-N($AG67)*MOD($AJ67,12)/12)),IF($W67="DDB",IF(N($V67)&lt;=0,0,MIN(($S67-N($U67)),$S67-$S67*(1-MIN(1,24/$V67))^INT($AJ67/12)*(1-MIN(1,24/$V67)*MOD($AJ67,12)/12))),IF($W67="SYD",IF(N($V67)&lt;=0,0,($S67-N($U67))*(INT(MIN($AJ67,$V67)/12)*(2*($V67/12)-INT(MIN($AJ67,$V67)/12)+1)/2+MOD(MIN($AJ67,$V67),12)/12*(($V67/12)-INT(MIN($AJ67,$V67)/12)))/(($V67/12)*(($V67/12)+1)/2)),0))))),2))</f>
        <v/>
      </c>
      <c r="Y67" s="23">
        <f>IF($X67="","",$S67-$X67)</f>
        <v/>
      </c>
      <c r="AD67" s="20" t="n"/>
      <c r="AG67" s="24" t="n"/>
      <c r="AH67" s="20" t="n"/>
      <c r="AI67" s="21" t="n"/>
      <c r="AJ67" s="25">
        <f>IF($R67="","",IF($R67&gt;IF($AH67&lt;&gt;"",MIN($AH67,Settings!$B$3),Settings!$B$3),0,(YEAR(IF($AH67&lt;&gt;"",MIN($AH67,Settings!$B$3),Settings!$B$3))-YEAR($R67))*12+MONTH(IF($AH67&lt;&gt;"",MIN($AH67,Settings!$B$3),Settings!$B$3))-MONTH($R67)+1))</f>
        <v/>
      </c>
      <c r="AK67" s="25">
        <f>IF($R67="","",IF($R67&gt;MIN(Settings!$B$4-1,IF($AH67&lt;&gt;"",MIN($AH67,Settings!$B$3),Settings!$B$3)),0,(YEAR(MIN(Settings!$B$4-1,IF($AH67&lt;&gt;"",MIN($AH67,Settings!$B$3),Settings!$B$3)))-YEAR($R67))*12+MONTH(MIN(Settings!$B$4-1,IF($AH67&lt;&gt;"",MIN($AH67,Settings!$B$3),Settings!$B$3)))-MONTH($R67)+1))</f>
        <v/>
      </c>
      <c r="AL67" s="23">
        <f>IF(OR($S67="",$R67=""),"",ROUND(MAX(0,IF($W67="Straight-line",IF(N($V67)&lt;=0,0,($S67-N($U67))*MIN($AK67,$V67)/$V67),IF($W67="Reducing balance",MIN(($S67-N($U67)),$S67-$S67*(1-N($AG67))^INT($AK67/12)*(1-N($AG67)*MOD($AK67,12)/12)),IF($W67="DDB",IF(N($V67)&lt;=0,0,MIN(($S67-N($U67)),$S67-$S67*(1-MIN(1,24/$V67))^INT($AK67/12)*(1-MIN(1,24/$V67)*MOD($AK67,12)/12))),IF($W67="SYD",IF(N($V67)&lt;=0,0,($S67-N($U67))*(INT(MIN($AK67,$V67)/12)*(2*($V67/12)-INT(MIN($AK67,$V67)/12)+1)/2+MOD(MIN($AK67,$V67),12)/12*(($V67/12)-INT(MIN($AK67,$V67)/12)))/(($V67/12)*(($V67/12)+1)/2)),0))))),2))</f>
        <v/>
      </c>
      <c r="AM67" s="23">
        <f>IF($X67="","",$X67-$AL67)</f>
        <v/>
      </c>
      <c r="AN67" s="23">
        <f>IF(OR($AH67="",$Y67=""),"",N($AI67)-$Y67)</f>
        <v/>
      </c>
    </row>
    <row r="68">
      <c r="Q68" s="20" t="n"/>
      <c r="R68" s="20" t="n"/>
      <c r="S68" s="21" t="n"/>
      <c r="U68" s="21" t="n"/>
      <c r="V68" s="22" t="n"/>
      <c r="X68" s="23">
        <f>IF(OR($S68="",$R68=""),"",ROUND(MAX(0,IF($W68="Straight-line",IF(N($V68)&lt;=0,0,($S68-N($U68))*MIN($AJ68,$V68)/$V68),IF($W68="Reducing balance",MIN(($S68-N($U68)),$S68-$S68*(1-N($AG68))^INT($AJ68/12)*(1-N($AG68)*MOD($AJ68,12)/12)),IF($W68="DDB",IF(N($V68)&lt;=0,0,MIN(($S68-N($U68)),$S68-$S68*(1-MIN(1,24/$V68))^INT($AJ68/12)*(1-MIN(1,24/$V68)*MOD($AJ68,12)/12))),IF($W68="SYD",IF(N($V68)&lt;=0,0,($S68-N($U68))*(INT(MIN($AJ68,$V68)/12)*(2*($V68/12)-INT(MIN($AJ68,$V68)/12)+1)/2+MOD(MIN($AJ68,$V68),12)/12*(($V68/12)-INT(MIN($AJ68,$V68)/12)))/(($V68/12)*(($V68/12)+1)/2)),0))))),2))</f>
        <v/>
      </c>
      <c r="Y68" s="23">
        <f>IF($X68="","",$S68-$X68)</f>
        <v/>
      </c>
      <c r="AD68" s="20" t="n"/>
      <c r="AG68" s="24" t="n"/>
      <c r="AH68" s="20" t="n"/>
      <c r="AI68" s="21" t="n"/>
      <c r="AJ68" s="25">
        <f>IF($R68="","",IF($R68&gt;IF($AH68&lt;&gt;"",MIN($AH68,Settings!$B$3),Settings!$B$3),0,(YEAR(IF($AH68&lt;&gt;"",MIN($AH68,Settings!$B$3),Settings!$B$3))-YEAR($R68))*12+MONTH(IF($AH68&lt;&gt;"",MIN($AH68,Settings!$B$3),Settings!$B$3))-MONTH($R68)+1))</f>
        <v/>
      </c>
      <c r="AK68" s="25">
        <f>IF($R68="","",IF($R68&gt;MIN(Settings!$B$4-1,IF($AH68&lt;&gt;"",MIN($AH68,Settings!$B$3),Settings!$B$3)),0,(YEAR(MIN(Settings!$B$4-1,IF($AH68&lt;&gt;"",MIN($AH68,Settings!$B$3),Settings!$B$3)))-YEAR($R68))*12+MONTH(MIN(Settings!$B$4-1,IF($AH68&lt;&gt;"",MIN($AH68,Settings!$B$3),Settings!$B$3)))-MONTH($R68)+1))</f>
        <v/>
      </c>
      <c r="AL68" s="23">
        <f>IF(OR($S68="",$R68=""),"",ROUND(MAX(0,IF($W68="Straight-line",IF(N($V68)&lt;=0,0,($S68-N($U68))*MIN($AK68,$V68)/$V68),IF($W68="Reducing balance",MIN(($S68-N($U68)),$S68-$S68*(1-N($AG68))^INT($AK68/12)*(1-N($AG68)*MOD($AK68,12)/12)),IF($W68="DDB",IF(N($V68)&lt;=0,0,MIN(($S68-N($U68)),$S68-$S68*(1-MIN(1,24/$V68))^INT($AK68/12)*(1-MIN(1,24/$V68)*MOD($AK68,12)/12))),IF($W68="SYD",IF(N($V68)&lt;=0,0,($S68-N($U68))*(INT(MIN($AK68,$V68)/12)*(2*($V68/12)-INT(MIN($AK68,$V68)/12)+1)/2+MOD(MIN($AK68,$V68),12)/12*(($V68/12)-INT(MIN($AK68,$V68)/12)))/(($V68/12)*(($V68/12)+1)/2)),0))))),2))</f>
        <v/>
      </c>
      <c r="AM68" s="23">
        <f>IF($X68="","",$X68-$AL68)</f>
        <v/>
      </c>
      <c r="AN68" s="23">
        <f>IF(OR($AH68="",$Y68=""),"",N($AI68)-$Y68)</f>
        <v/>
      </c>
    </row>
    <row r="69">
      <c r="Q69" s="20" t="n"/>
      <c r="R69" s="20" t="n"/>
      <c r="S69" s="21" t="n"/>
      <c r="U69" s="21" t="n"/>
      <c r="V69" s="22" t="n"/>
      <c r="X69" s="23">
        <f>IF(OR($S69="",$R69=""),"",ROUND(MAX(0,IF($W69="Straight-line",IF(N($V69)&lt;=0,0,($S69-N($U69))*MIN($AJ69,$V69)/$V69),IF($W69="Reducing balance",MIN(($S69-N($U69)),$S69-$S69*(1-N($AG69))^INT($AJ69/12)*(1-N($AG69)*MOD($AJ69,12)/12)),IF($W69="DDB",IF(N($V69)&lt;=0,0,MIN(($S69-N($U69)),$S69-$S69*(1-MIN(1,24/$V69))^INT($AJ69/12)*(1-MIN(1,24/$V69)*MOD($AJ69,12)/12))),IF($W69="SYD",IF(N($V69)&lt;=0,0,($S69-N($U69))*(INT(MIN($AJ69,$V69)/12)*(2*($V69/12)-INT(MIN($AJ69,$V69)/12)+1)/2+MOD(MIN($AJ69,$V69),12)/12*(($V69/12)-INT(MIN($AJ69,$V69)/12)))/(($V69/12)*(($V69/12)+1)/2)),0))))),2))</f>
        <v/>
      </c>
      <c r="Y69" s="23">
        <f>IF($X69="","",$S69-$X69)</f>
        <v/>
      </c>
      <c r="AD69" s="20" t="n"/>
      <c r="AG69" s="24" t="n"/>
      <c r="AH69" s="20" t="n"/>
      <c r="AI69" s="21" t="n"/>
      <c r="AJ69" s="25">
        <f>IF($R69="","",IF($R69&gt;IF($AH69&lt;&gt;"",MIN($AH69,Settings!$B$3),Settings!$B$3),0,(YEAR(IF($AH69&lt;&gt;"",MIN($AH69,Settings!$B$3),Settings!$B$3))-YEAR($R69))*12+MONTH(IF($AH69&lt;&gt;"",MIN($AH69,Settings!$B$3),Settings!$B$3))-MONTH($R69)+1))</f>
        <v/>
      </c>
      <c r="AK69" s="25">
        <f>IF($R69="","",IF($R69&gt;MIN(Settings!$B$4-1,IF($AH69&lt;&gt;"",MIN($AH69,Settings!$B$3),Settings!$B$3)),0,(YEAR(MIN(Settings!$B$4-1,IF($AH69&lt;&gt;"",MIN($AH69,Settings!$B$3),Settings!$B$3)))-YEAR($R69))*12+MONTH(MIN(Settings!$B$4-1,IF($AH69&lt;&gt;"",MIN($AH69,Settings!$B$3),Settings!$B$3)))-MONTH($R69)+1))</f>
        <v/>
      </c>
      <c r="AL69" s="23">
        <f>IF(OR($S69="",$R69=""),"",ROUND(MAX(0,IF($W69="Straight-line",IF(N($V69)&lt;=0,0,($S69-N($U69))*MIN($AK69,$V69)/$V69),IF($W69="Reducing balance",MIN(($S69-N($U69)),$S69-$S69*(1-N($AG69))^INT($AK69/12)*(1-N($AG69)*MOD($AK69,12)/12)),IF($W69="DDB",IF(N($V69)&lt;=0,0,MIN(($S69-N($U69)),$S69-$S69*(1-MIN(1,24/$V69))^INT($AK69/12)*(1-MIN(1,24/$V69)*MOD($AK69,12)/12))),IF($W69="SYD",IF(N($V69)&lt;=0,0,($S69-N($U69))*(INT(MIN($AK69,$V69)/12)*(2*($V69/12)-INT(MIN($AK69,$V69)/12)+1)/2+MOD(MIN($AK69,$V69),12)/12*(($V69/12)-INT(MIN($AK69,$V69)/12)))/(($V69/12)*(($V69/12)+1)/2)),0))))),2))</f>
        <v/>
      </c>
      <c r="AM69" s="23">
        <f>IF($X69="","",$X69-$AL69)</f>
        <v/>
      </c>
      <c r="AN69" s="23">
        <f>IF(OR($AH69="",$Y69=""),"",N($AI69)-$Y69)</f>
        <v/>
      </c>
    </row>
    <row r="70">
      <c r="Q70" s="20" t="n"/>
      <c r="R70" s="20" t="n"/>
      <c r="S70" s="21" t="n"/>
      <c r="U70" s="21" t="n"/>
      <c r="V70" s="22" t="n"/>
      <c r="X70" s="23">
        <f>IF(OR($S70="",$R70=""),"",ROUND(MAX(0,IF($W70="Straight-line",IF(N($V70)&lt;=0,0,($S70-N($U70))*MIN($AJ70,$V70)/$V70),IF($W70="Reducing balance",MIN(($S70-N($U70)),$S70-$S70*(1-N($AG70))^INT($AJ70/12)*(1-N($AG70)*MOD($AJ70,12)/12)),IF($W70="DDB",IF(N($V70)&lt;=0,0,MIN(($S70-N($U70)),$S70-$S70*(1-MIN(1,24/$V70))^INT($AJ70/12)*(1-MIN(1,24/$V70)*MOD($AJ70,12)/12))),IF($W70="SYD",IF(N($V70)&lt;=0,0,($S70-N($U70))*(INT(MIN($AJ70,$V70)/12)*(2*($V70/12)-INT(MIN($AJ70,$V70)/12)+1)/2+MOD(MIN($AJ70,$V70),12)/12*(($V70/12)-INT(MIN($AJ70,$V70)/12)))/(($V70/12)*(($V70/12)+1)/2)),0))))),2))</f>
        <v/>
      </c>
      <c r="Y70" s="23">
        <f>IF($X70="","",$S70-$X70)</f>
        <v/>
      </c>
      <c r="AD70" s="20" t="n"/>
      <c r="AG70" s="24" t="n"/>
      <c r="AH70" s="20" t="n"/>
      <c r="AI70" s="21" t="n"/>
      <c r="AJ70" s="25">
        <f>IF($R70="","",IF($R70&gt;IF($AH70&lt;&gt;"",MIN($AH70,Settings!$B$3),Settings!$B$3),0,(YEAR(IF($AH70&lt;&gt;"",MIN($AH70,Settings!$B$3),Settings!$B$3))-YEAR($R70))*12+MONTH(IF($AH70&lt;&gt;"",MIN($AH70,Settings!$B$3),Settings!$B$3))-MONTH($R70)+1))</f>
        <v/>
      </c>
      <c r="AK70" s="25">
        <f>IF($R70="","",IF($R70&gt;MIN(Settings!$B$4-1,IF($AH70&lt;&gt;"",MIN($AH70,Settings!$B$3),Settings!$B$3)),0,(YEAR(MIN(Settings!$B$4-1,IF($AH70&lt;&gt;"",MIN($AH70,Settings!$B$3),Settings!$B$3)))-YEAR($R70))*12+MONTH(MIN(Settings!$B$4-1,IF($AH70&lt;&gt;"",MIN($AH70,Settings!$B$3),Settings!$B$3)))-MONTH($R70)+1))</f>
        <v/>
      </c>
      <c r="AL70" s="23">
        <f>IF(OR($S70="",$R70=""),"",ROUND(MAX(0,IF($W70="Straight-line",IF(N($V70)&lt;=0,0,($S70-N($U70))*MIN($AK70,$V70)/$V70),IF($W70="Reducing balance",MIN(($S70-N($U70)),$S70-$S70*(1-N($AG70))^INT($AK70/12)*(1-N($AG70)*MOD($AK70,12)/12)),IF($W70="DDB",IF(N($V70)&lt;=0,0,MIN(($S70-N($U70)),$S70-$S70*(1-MIN(1,24/$V70))^INT($AK70/12)*(1-MIN(1,24/$V70)*MOD($AK70,12)/12))),IF($W70="SYD",IF(N($V70)&lt;=0,0,($S70-N($U70))*(INT(MIN($AK70,$V70)/12)*(2*($V70/12)-INT(MIN($AK70,$V70)/12)+1)/2+MOD(MIN($AK70,$V70),12)/12*(($V70/12)-INT(MIN($AK70,$V70)/12)))/(($V70/12)*(($V70/12)+1)/2)),0))))),2))</f>
        <v/>
      </c>
      <c r="AM70" s="23">
        <f>IF($X70="","",$X70-$AL70)</f>
        <v/>
      </c>
      <c r="AN70" s="23">
        <f>IF(OR($AH70="",$Y70=""),"",N($AI70)-$Y70)</f>
        <v/>
      </c>
    </row>
    <row r="71">
      <c r="Q71" s="20" t="n"/>
      <c r="R71" s="20" t="n"/>
      <c r="S71" s="21" t="n"/>
      <c r="U71" s="21" t="n"/>
      <c r="V71" s="22" t="n"/>
      <c r="X71" s="23">
        <f>IF(OR($S71="",$R71=""),"",ROUND(MAX(0,IF($W71="Straight-line",IF(N($V71)&lt;=0,0,($S71-N($U71))*MIN($AJ71,$V71)/$V71),IF($W71="Reducing balance",MIN(($S71-N($U71)),$S71-$S71*(1-N($AG71))^INT($AJ71/12)*(1-N($AG71)*MOD($AJ71,12)/12)),IF($W71="DDB",IF(N($V71)&lt;=0,0,MIN(($S71-N($U71)),$S71-$S71*(1-MIN(1,24/$V71))^INT($AJ71/12)*(1-MIN(1,24/$V71)*MOD($AJ71,12)/12))),IF($W71="SYD",IF(N($V71)&lt;=0,0,($S71-N($U71))*(INT(MIN($AJ71,$V71)/12)*(2*($V71/12)-INT(MIN($AJ71,$V71)/12)+1)/2+MOD(MIN($AJ71,$V71),12)/12*(($V71/12)-INT(MIN($AJ71,$V71)/12)))/(($V71/12)*(($V71/12)+1)/2)),0))))),2))</f>
        <v/>
      </c>
      <c r="Y71" s="23">
        <f>IF($X71="","",$S71-$X71)</f>
        <v/>
      </c>
      <c r="AD71" s="20" t="n"/>
      <c r="AG71" s="24" t="n"/>
      <c r="AH71" s="20" t="n"/>
      <c r="AI71" s="21" t="n"/>
      <c r="AJ71" s="25">
        <f>IF($R71="","",IF($R71&gt;IF($AH71&lt;&gt;"",MIN($AH71,Settings!$B$3),Settings!$B$3),0,(YEAR(IF($AH71&lt;&gt;"",MIN($AH71,Settings!$B$3),Settings!$B$3))-YEAR($R71))*12+MONTH(IF($AH71&lt;&gt;"",MIN($AH71,Settings!$B$3),Settings!$B$3))-MONTH($R71)+1))</f>
        <v/>
      </c>
      <c r="AK71" s="25">
        <f>IF($R71="","",IF($R71&gt;MIN(Settings!$B$4-1,IF($AH71&lt;&gt;"",MIN($AH71,Settings!$B$3),Settings!$B$3)),0,(YEAR(MIN(Settings!$B$4-1,IF($AH71&lt;&gt;"",MIN($AH71,Settings!$B$3),Settings!$B$3)))-YEAR($R71))*12+MONTH(MIN(Settings!$B$4-1,IF($AH71&lt;&gt;"",MIN($AH71,Settings!$B$3),Settings!$B$3)))-MONTH($R71)+1))</f>
        <v/>
      </c>
      <c r="AL71" s="23">
        <f>IF(OR($S71="",$R71=""),"",ROUND(MAX(0,IF($W71="Straight-line",IF(N($V71)&lt;=0,0,($S71-N($U71))*MIN($AK71,$V71)/$V71),IF($W71="Reducing balance",MIN(($S71-N($U71)),$S71-$S71*(1-N($AG71))^INT($AK71/12)*(1-N($AG71)*MOD($AK71,12)/12)),IF($W71="DDB",IF(N($V71)&lt;=0,0,MIN(($S71-N($U71)),$S71-$S71*(1-MIN(1,24/$V71))^INT($AK71/12)*(1-MIN(1,24/$V71)*MOD($AK71,12)/12))),IF($W71="SYD",IF(N($V71)&lt;=0,0,($S71-N($U71))*(INT(MIN($AK71,$V71)/12)*(2*($V71/12)-INT(MIN($AK71,$V71)/12)+1)/2+MOD(MIN($AK71,$V71),12)/12*(($V71/12)-INT(MIN($AK71,$V71)/12)))/(($V71/12)*(($V71/12)+1)/2)),0))))),2))</f>
        <v/>
      </c>
      <c r="AM71" s="23">
        <f>IF($X71="","",$X71-$AL71)</f>
        <v/>
      </c>
      <c r="AN71" s="23">
        <f>IF(OR($AH71="",$Y71=""),"",N($AI71)-$Y71)</f>
        <v/>
      </c>
    </row>
    <row r="72">
      <c r="Q72" s="20" t="n"/>
      <c r="R72" s="20" t="n"/>
      <c r="S72" s="21" t="n"/>
      <c r="U72" s="21" t="n"/>
      <c r="V72" s="22" t="n"/>
      <c r="X72" s="23">
        <f>IF(OR($S72="",$R72=""),"",ROUND(MAX(0,IF($W72="Straight-line",IF(N($V72)&lt;=0,0,($S72-N($U72))*MIN($AJ72,$V72)/$V72),IF($W72="Reducing balance",MIN(($S72-N($U72)),$S72-$S72*(1-N($AG72))^INT($AJ72/12)*(1-N($AG72)*MOD($AJ72,12)/12)),IF($W72="DDB",IF(N($V72)&lt;=0,0,MIN(($S72-N($U72)),$S72-$S72*(1-MIN(1,24/$V72))^INT($AJ72/12)*(1-MIN(1,24/$V72)*MOD($AJ72,12)/12))),IF($W72="SYD",IF(N($V72)&lt;=0,0,($S72-N($U72))*(INT(MIN($AJ72,$V72)/12)*(2*($V72/12)-INT(MIN($AJ72,$V72)/12)+1)/2+MOD(MIN($AJ72,$V72),12)/12*(($V72/12)-INT(MIN($AJ72,$V72)/12)))/(($V72/12)*(($V72/12)+1)/2)),0))))),2))</f>
        <v/>
      </c>
      <c r="Y72" s="23">
        <f>IF($X72="","",$S72-$X72)</f>
        <v/>
      </c>
      <c r="AD72" s="20" t="n"/>
      <c r="AG72" s="24" t="n"/>
      <c r="AH72" s="20" t="n"/>
      <c r="AI72" s="21" t="n"/>
      <c r="AJ72" s="25">
        <f>IF($R72="","",IF($R72&gt;IF($AH72&lt;&gt;"",MIN($AH72,Settings!$B$3),Settings!$B$3),0,(YEAR(IF($AH72&lt;&gt;"",MIN($AH72,Settings!$B$3),Settings!$B$3))-YEAR($R72))*12+MONTH(IF($AH72&lt;&gt;"",MIN($AH72,Settings!$B$3),Settings!$B$3))-MONTH($R72)+1))</f>
        <v/>
      </c>
      <c r="AK72" s="25">
        <f>IF($R72="","",IF($R72&gt;MIN(Settings!$B$4-1,IF($AH72&lt;&gt;"",MIN($AH72,Settings!$B$3),Settings!$B$3)),0,(YEAR(MIN(Settings!$B$4-1,IF($AH72&lt;&gt;"",MIN($AH72,Settings!$B$3),Settings!$B$3)))-YEAR($R72))*12+MONTH(MIN(Settings!$B$4-1,IF($AH72&lt;&gt;"",MIN($AH72,Settings!$B$3),Settings!$B$3)))-MONTH($R72)+1))</f>
        <v/>
      </c>
      <c r="AL72" s="23">
        <f>IF(OR($S72="",$R72=""),"",ROUND(MAX(0,IF($W72="Straight-line",IF(N($V72)&lt;=0,0,($S72-N($U72))*MIN($AK72,$V72)/$V72),IF($W72="Reducing balance",MIN(($S72-N($U72)),$S72-$S72*(1-N($AG72))^INT($AK72/12)*(1-N($AG72)*MOD($AK72,12)/12)),IF($W72="DDB",IF(N($V72)&lt;=0,0,MIN(($S72-N($U72)),$S72-$S72*(1-MIN(1,24/$V72))^INT($AK72/12)*(1-MIN(1,24/$V72)*MOD($AK72,12)/12))),IF($W72="SYD",IF(N($V72)&lt;=0,0,($S72-N($U72))*(INT(MIN($AK72,$V72)/12)*(2*($V72/12)-INT(MIN($AK72,$V72)/12)+1)/2+MOD(MIN($AK72,$V72),12)/12*(($V72/12)-INT(MIN($AK72,$V72)/12)))/(($V72/12)*(($V72/12)+1)/2)),0))))),2))</f>
        <v/>
      </c>
      <c r="AM72" s="23">
        <f>IF($X72="","",$X72-$AL72)</f>
        <v/>
      </c>
      <c r="AN72" s="23">
        <f>IF(OR($AH72="",$Y72=""),"",N($AI72)-$Y72)</f>
        <v/>
      </c>
    </row>
    <row r="73">
      <c r="Q73" s="20" t="n"/>
      <c r="R73" s="20" t="n"/>
      <c r="S73" s="21" t="n"/>
      <c r="U73" s="21" t="n"/>
      <c r="V73" s="22" t="n"/>
      <c r="X73" s="23">
        <f>IF(OR($S73="",$R73=""),"",ROUND(MAX(0,IF($W73="Straight-line",IF(N($V73)&lt;=0,0,($S73-N($U73))*MIN($AJ73,$V73)/$V73),IF($W73="Reducing balance",MIN(($S73-N($U73)),$S73-$S73*(1-N($AG73))^INT($AJ73/12)*(1-N($AG73)*MOD($AJ73,12)/12)),IF($W73="DDB",IF(N($V73)&lt;=0,0,MIN(($S73-N($U73)),$S73-$S73*(1-MIN(1,24/$V73))^INT($AJ73/12)*(1-MIN(1,24/$V73)*MOD($AJ73,12)/12))),IF($W73="SYD",IF(N($V73)&lt;=0,0,($S73-N($U73))*(INT(MIN($AJ73,$V73)/12)*(2*($V73/12)-INT(MIN($AJ73,$V73)/12)+1)/2+MOD(MIN($AJ73,$V73),12)/12*(($V73/12)-INT(MIN($AJ73,$V73)/12)))/(($V73/12)*(($V73/12)+1)/2)),0))))),2))</f>
        <v/>
      </c>
      <c r="Y73" s="23">
        <f>IF($X73="","",$S73-$X73)</f>
        <v/>
      </c>
      <c r="AD73" s="20" t="n"/>
      <c r="AG73" s="24" t="n"/>
      <c r="AH73" s="20" t="n"/>
      <c r="AI73" s="21" t="n"/>
      <c r="AJ73" s="25">
        <f>IF($R73="","",IF($R73&gt;IF($AH73&lt;&gt;"",MIN($AH73,Settings!$B$3),Settings!$B$3),0,(YEAR(IF($AH73&lt;&gt;"",MIN($AH73,Settings!$B$3),Settings!$B$3))-YEAR($R73))*12+MONTH(IF($AH73&lt;&gt;"",MIN($AH73,Settings!$B$3),Settings!$B$3))-MONTH($R73)+1))</f>
        <v/>
      </c>
      <c r="AK73" s="25">
        <f>IF($R73="","",IF($R73&gt;MIN(Settings!$B$4-1,IF($AH73&lt;&gt;"",MIN($AH73,Settings!$B$3),Settings!$B$3)),0,(YEAR(MIN(Settings!$B$4-1,IF($AH73&lt;&gt;"",MIN($AH73,Settings!$B$3),Settings!$B$3)))-YEAR($R73))*12+MONTH(MIN(Settings!$B$4-1,IF($AH73&lt;&gt;"",MIN($AH73,Settings!$B$3),Settings!$B$3)))-MONTH($R73)+1))</f>
        <v/>
      </c>
      <c r="AL73" s="23">
        <f>IF(OR($S73="",$R73=""),"",ROUND(MAX(0,IF($W73="Straight-line",IF(N($V73)&lt;=0,0,($S73-N($U73))*MIN($AK73,$V73)/$V73),IF($W73="Reducing balance",MIN(($S73-N($U73)),$S73-$S73*(1-N($AG73))^INT($AK73/12)*(1-N($AG73)*MOD($AK73,12)/12)),IF($W73="DDB",IF(N($V73)&lt;=0,0,MIN(($S73-N($U73)),$S73-$S73*(1-MIN(1,24/$V73))^INT($AK73/12)*(1-MIN(1,24/$V73)*MOD($AK73,12)/12))),IF($W73="SYD",IF(N($V73)&lt;=0,0,($S73-N($U73))*(INT(MIN($AK73,$V73)/12)*(2*($V73/12)-INT(MIN($AK73,$V73)/12)+1)/2+MOD(MIN($AK73,$V73),12)/12*(($V73/12)-INT(MIN($AK73,$V73)/12)))/(($V73/12)*(($V73/12)+1)/2)),0))))),2))</f>
        <v/>
      </c>
      <c r="AM73" s="23">
        <f>IF($X73="","",$X73-$AL73)</f>
        <v/>
      </c>
      <c r="AN73" s="23">
        <f>IF(OR($AH73="",$Y73=""),"",N($AI73)-$Y73)</f>
        <v/>
      </c>
    </row>
    <row r="74">
      <c r="Q74" s="20" t="n"/>
      <c r="R74" s="20" t="n"/>
      <c r="S74" s="21" t="n"/>
      <c r="U74" s="21" t="n"/>
      <c r="V74" s="22" t="n"/>
      <c r="X74" s="23">
        <f>IF(OR($S74="",$R74=""),"",ROUND(MAX(0,IF($W74="Straight-line",IF(N($V74)&lt;=0,0,($S74-N($U74))*MIN($AJ74,$V74)/$V74),IF($W74="Reducing balance",MIN(($S74-N($U74)),$S74-$S74*(1-N($AG74))^INT($AJ74/12)*(1-N($AG74)*MOD($AJ74,12)/12)),IF($W74="DDB",IF(N($V74)&lt;=0,0,MIN(($S74-N($U74)),$S74-$S74*(1-MIN(1,24/$V74))^INT($AJ74/12)*(1-MIN(1,24/$V74)*MOD($AJ74,12)/12))),IF($W74="SYD",IF(N($V74)&lt;=0,0,($S74-N($U74))*(INT(MIN($AJ74,$V74)/12)*(2*($V74/12)-INT(MIN($AJ74,$V74)/12)+1)/2+MOD(MIN($AJ74,$V74),12)/12*(($V74/12)-INT(MIN($AJ74,$V74)/12)))/(($V74/12)*(($V74/12)+1)/2)),0))))),2))</f>
        <v/>
      </c>
      <c r="Y74" s="23">
        <f>IF($X74="","",$S74-$X74)</f>
        <v/>
      </c>
      <c r="AD74" s="20" t="n"/>
      <c r="AG74" s="24" t="n"/>
      <c r="AH74" s="20" t="n"/>
      <c r="AI74" s="21" t="n"/>
      <c r="AJ74" s="25">
        <f>IF($R74="","",IF($R74&gt;IF($AH74&lt;&gt;"",MIN($AH74,Settings!$B$3),Settings!$B$3),0,(YEAR(IF($AH74&lt;&gt;"",MIN($AH74,Settings!$B$3),Settings!$B$3))-YEAR($R74))*12+MONTH(IF($AH74&lt;&gt;"",MIN($AH74,Settings!$B$3),Settings!$B$3))-MONTH($R74)+1))</f>
        <v/>
      </c>
      <c r="AK74" s="25">
        <f>IF($R74="","",IF($R74&gt;MIN(Settings!$B$4-1,IF($AH74&lt;&gt;"",MIN($AH74,Settings!$B$3),Settings!$B$3)),0,(YEAR(MIN(Settings!$B$4-1,IF($AH74&lt;&gt;"",MIN($AH74,Settings!$B$3),Settings!$B$3)))-YEAR($R74))*12+MONTH(MIN(Settings!$B$4-1,IF($AH74&lt;&gt;"",MIN($AH74,Settings!$B$3),Settings!$B$3)))-MONTH($R74)+1))</f>
        <v/>
      </c>
      <c r="AL74" s="23">
        <f>IF(OR($S74="",$R74=""),"",ROUND(MAX(0,IF($W74="Straight-line",IF(N($V74)&lt;=0,0,($S74-N($U74))*MIN($AK74,$V74)/$V74),IF($W74="Reducing balance",MIN(($S74-N($U74)),$S74-$S74*(1-N($AG74))^INT($AK74/12)*(1-N($AG74)*MOD($AK74,12)/12)),IF($W74="DDB",IF(N($V74)&lt;=0,0,MIN(($S74-N($U74)),$S74-$S74*(1-MIN(1,24/$V74))^INT($AK74/12)*(1-MIN(1,24/$V74)*MOD($AK74,12)/12))),IF($W74="SYD",IF(N($V74)&lt;=0,0,($S74-N($U74))*(INT(MIN($AK74,$V74)/12)*(2*($V74/12)-INT(MIN($AK74,$V74)/12)+1)/2+MOD(MIN($AK74,$V74),12)/12*(($V74/12)-INT(MIN($AK74,$V74)/12)))/(($V74/12)*(($V74/12)+1)/2)),0))))),2))</f>
        <v/>
      </c>
      <c r="AM74" s="23">
        <f>IF($X74="","",$X74-$AL74)</f>
        <v/>
      </c>
      <c r="AN74" s="23">
        <f>IF(OR($AH74="",$Y74=""),"",N($AI74)-$Y74)</f>
        <v/>
      </c>
    </row>
    <row r="75">
      <c r="Q75" s="20" t="n"/>
      <c r="R75" s="20" t="n"/>
      <c r="S75" s="21" t="n"/>
      <c r="U75" s="21" t="n"/>
      <c r="V75" s="22" t="n"/>
      <c r="X75" s="23">
        <f>IF(OR($S75="",$R75=""),"",ROUND(MAX(0,IF($W75="Straight-line",IF(N($V75)&lt;=0,0,($S75-N($U75))*MIN($AJ75,$V75)/$V75),IF($W75="Reducing balance",MIN(($S75-N($U75)),$S75-$S75*(1-N($AG75))^INT($AJ75/12)*(1-N($AG75)*MOD($AJ75,12)/12)),IF($W75="DDB",IF(N($V75)&lt;=0,0,MIN(($S75-N($U75)),$S75-$S75*(1-MIN(1,24/$V75))^INT($AJ75/12)*(1-MIN(1,24/$V75)*MOD($AJ75,12)/12))),IF($W75="SYD",IF(N($V75)&lt;=0,0,($S75-N($U75))*(INT(MIN($AJ75,$V75)/12)*(2*($V75/12)-INT(MIN($AJ75,$V75)/12)+1)/2+MOD(MIN($AJ75,$V75),12)/12*(($V75/12)-INT(MIN($AJ75,$V75)/12)))/(($V75/12)*(($V75/12)+1)/2)),0))))),2))</f>
        <v/>
      </c>
      <c r="Y75" s="23">
        <f>IF($X75="","",$S75-$X75)</f>
        <v/>
      </c>
      <c r="AD75" s="20" t="n"/>
      <c r="AG75" s="24" t="n"/>
      <c r="AH75" s="20" t="n"/>
      <c r="AI75" s="21" t="n"/>
      <c r="AJ75" s="25">
        <f>IF($R75="","",IF($R75&gt;IF($AH75&lt;&gt;"",MIN($AH75,Settings!$B$3),Settings!$B$3),0,(YEAR(IF($AH75&lt;&gt;"",MIN($AH75,Settings!$B$3),Settings!$B$3))-YEAR($R75))*12+MONTH(IF($AH75&lt;&gt;"",MIN($AH75,Settings!$B$3),Settings!$B$3))-MONTH($R75)+1))</f>
        <v/>
      </c>
      <c r="AK75" s="25">
        <f>IF($R75="","",IF($R75&gt;MIN(Settings!$B$4-1,IF($AH75&lt;&gt;"",MIN($AH75,Settings!$B$3),Settings!$B$3)),0,(YEAR(MIN(Settings!$B$4-1,IF($AH75&lt;&gt;"",MIN($AH75,Settings!$B$3),Settings!$B$3)))-YEAR($R75))*12+MONTH(MIN(Settings!$B$4-1,IF($AH75&lt;&gt;"",MIN($AH75,Settings!$B$3),Settings!$B$3)))-MONTH($R75)+1))</f>
        <v/>
      </c>
      <c r="AL75" s="23">
        <f>IF(OR($S75="",$R75=""),"",ROUND(MAX(0,IF($W75="Straight-line",IF(N($V75)&lt;=0,0,($S75-N($U75))*MIN($AK75,$V75)/$V75),IF($W75="Reducing balance",MIN(($S75-N($U75)),$S75-$S75*(1-N($AG75))^INT($AK75/12)*(1-N($AG75)*MOD($AK75,12)/12)),IF($W75="DDB",IF(N($V75)&lt;=0,0,MIN(($S75-N($U75)),$S75-$S75*(1-MIN(1,24/$V75))^INT($AK75/12)*(1-MIN(1,24/$V75)*MOD($AK75,12)/12))),IF($W75="SYD",IF(N($V75)&lt;=0,0,($S75-N($U75))*(INT(MIN($AK75,$V75)/12)*(2*($V75/12)-INT(MIN($AK75,$V75)/12)+1)/2+MOD(MIN($AK75,$V75),12)/12*(($V75/12)-INT(MIN($AK75,$V75)/12)))/(($V75/12)*(($V75/12)+1)/2)),0))))),2))</f>
        <v/>
      </c>
      <c r="AM75" s="23">
        <f>IF($X75="","",$X75-$AL75)</f>
        <v/>
      </c>
      <c r="AN75" s="23">
        <f>IF(OR($AH75="",$Y75=""),"",N($AI75)-$Y75)</f>
        <v/>
      </c>
    </row>
    <row r="76">
      <c r="Q76" s="20" t="n"/>
      <c r="R76" s="20" t="n"/>
      <c r="S76" s="21" t="n"/>
      <c r="U76" s="21" t="n"/>
      <c r="V76" s="22" t="n"/>
      <c r="X76" s="23">
        <f>IF(OR($S76="",$R76=""),"",ROUND(MAX(0,IF($W76="Straight-line",IF(N($V76)&lt;=0,0,($S76-N($U76))*MIN($AJ76,$V76)/$V76),IF($W76="Reducing balance",MIN(($S76-N($U76)),$S76-$S76*(1-N($AG76))^INT($AJ76/12)*(1-N($AG76)*MOD($AJ76,12)/12)),IF($W76="DDB",IF(N($V76)&lt;=0,0,MIN(($S76-N($U76)),$S76-$S76*(1-MIN(1,24/$V76))^INT($AJ76/12)*(1-MIN(1,24/$V76)*MOD($AJ76,12)/12))),IF($W76="SYD",IF(N($V76)&lt;=0,0,($S76-N($U76))*(INT(MIN($AJ76,$V76)/12)*(2*($V76/12)-INT(MIN($AJ76,$V76)/12)+1)/2+MOD(MIN($AJ76,$V76),12)/12*(($V76/12)-INT(MIN($AJ76,$V76)/12)))/(($V76/12)*(($V76/12)+1)/2)),0))))),2))</f>
        <v/>
      </c>
      <c r="Y76" s="23">
        <f>IF($X76="","",$S76-$X76)</f>
        <v/>
      </c>
      <c r="AD76" s="20" t="n"/>
      <c r="AG76" s="24" t="n"/>
      <c r="AH76" s="20" t="n"/>
      <c r="AI76" s="21" t="n"/>
      <c r="AJ76" s="25">
        <f>IF($R76="","",IF($R76&gt;IF($AH76&lt;&gt;"",MIN($AH76,Settings!$B$3),Settings!$B$3),0,(YEAR(IF($AH76&lt;&gt;"",MIN($AH76,Settings!$B$3),Settings!$B$3))-YEAR($R76))*12+MONTH(IF($AH76&lt;&gt;"",MIN($AH76,Settings!$B$3),Settings!$B$3))-MONTH($R76)+1))</f>
        <v/>
      </c>
      <c r="AK76" s="25">
        <f>IF($R76="","",IF($R76&gt;MIN(Settings!$B$4-1,IF($AH76&lt;&gt;"",MIN($AH76,Settings!$B$3),Settings!$B$3)),0,(YEAR(MIN(Settings!$B$4-1,IF($AH76&lt;&gt;"",MIN($AH76,Settings!$B$3),Settings!$B$3)))-YEAR($R76))*12+MONTH(MIN(Settings!$B$4-1,IF($AH76&lt;&gt;"",MIN($AH76,Settings!$B$3),Settings!$B$3)))-MONTH($R76)+1))</f>
        <v/>
      </c>
      <c r="AL76" s="23">
        <f>IF(OR($S76="",$R76=""),"",ROUND(MAX(0,IF($W76="Straight-line",IF(N($V76)&lt;=0,0,($S76-N($U76))*MIN($AK76,$V76)/$V76),IF($W76="Reducing balance",MIN(($S76-N($U76)),$S76-$S76*(1-N($AG76))^INT($AK76/12)*(1-N($AG76)*MOD($AK76,12)/12)),IF($W76="DDB",IF(N($V76)&lt;=0,0,MIN(($S76-N($U76)),$S76-$S76*(1-MIN(1,24/$V76))^INT($AK76/12)*(1-MIN(1,24/$V76)*MOD($AK76,12)/12))),IF($W76="SYD",IF(N($V76)&lt;=0,0,($S76-N($U76))*(INT(MIN($AK76,$V76)/12)*(2*($V76/12)-INT(MIN($AK76,$V76)/12)+1)/2+MOD(MIN($AK76,$V76),12)/12*(($V76/12)-INT(MIN($AK76,$V76)/12)))/(($V76/12)*(($V76/12)+1)/2)),0))))),2))</f>
        <v/>
      </c>
      <c r="AM76" s="23">
        <f>IF($X76="","",$X76-$AL76)</f>
        <v/>
      </c>
      <c r="AN76" s="23">
        <f>IF(OR($AH76="",$Y76=""),"",N($AI76)-$Y76)</f>
        <v/>
      </c>
    </row>
    <row r="77">
      <c r="Q77" s="20" t="n"/>
      <c r="R77" s="20" t="n"/>
      <c r="S77" s="21" t="n"/>
      <c r="U77" s="21" t="n"/>
      <c r="V77" s="22" t="n"/>
      <c r="X77" s="23">
        <f>IF(OR($S77="",$R77=""),"",ROUND(MAX(0,IF($W77="Straight-line",IF(N($V77)&lt;=0,0,($S77-N($U77))*MIN($AJ77,$V77)/$V77),IF($W77="Reducing balance",MIN(($S77-N($U77)),$S77-$S77*(1-N($AG77))^INT($AJ77/12)*(1-N($AG77)*MOD($AJ77,12)/12)),IF($W77="DDB",IF(N($V77)&lt;=0,0,MIN(($S77-N($U77)),$S77-$S77*(1-MIN(1,24/$V77))^INT($AJ77/12)*(1-MIN(1,24/$V77)*MOD($AJ77,12)/12))),IF($W77="SYD",IF(N($V77)&lt;=0,0,($S77-N($U77))*(INT(MIN($AJ77,$V77)/12)*(2*($V77/12)-INT(MIN($AJ77,$V77)/12)+1)/2+MOD(MIN($AJ77,$V77),12)/12*(($V77/12)-INT(MIN($AJ77,$V77)/12)))/(($V77/12)*(($V77/12)+1)/2)),0))))),2))</f>
        <v/>
      </c>
      <c r="Y77" s="23">
        <f>IF($X77="","",$S77-$X77)</f>
        <v/>
      </c>
      <c r="AD77" s="20" t="n"/>
      <c r="AG77" s="24" t="n"/>
      <c r="AH77" s="20" t="n"/>
      <c r="AI77" s="21" t="n"/>
      <c r="AJ77" s="25">
        <f>IF($R77="","",IF($R77&gt;IF($AH77&lt;&gt;"",MIN($AH77,Settings!$B$3),Settings!$B$3),0,(YEAR(IF($AH77&lt;&gt;"",MIN($AH77,Settings!$B$3),Settings!$B$3))-YEAR($R77))*12+MONTH(IF($AH77&lt;&gt;"",MIN($AH77,Settings!$B$3),Settings!$B$3))-MONTH($R77)+1))</f>
        <v/>
      </c>
      <c r="AK77" s="25">
        <f>IF($R77="","",IF($R77&gt;MIN(Settings!$B$4-1,IF($AH77&lt;&gt;"",MIN($AH77,Settings!$B$3),Settings!$B$3)),0,(YEAR(MIN(Settings!$B$4-1,IF($AH77&lt;&gt;"",MIN($AH77,Settings!$B$3),Settings!$B$3)))-YEAR($R77))*12+MONTH(MIN(Settings!$B$4-1,IF($AH77&lt;&gt;"",MIN($AH77,Settings!$B$3),Settings!$B$3)))-MONTH($R77)+1))</f>
        <v/>
      </c>
      <c r="AL77" s="23">
        <f>IF(OR($S77="",$R77=""),"",ROUND(MAX(0,IF($W77="Straight-line",IF(N($V77)&lt;=0,0,($S77-N($U77))*MIN($AK77,$V77)/$V77),IF($W77="Reducing balance",MIN(($S77-N($U77)),$S77-$S77*(1-N($AG77))^INT($AK77/12)*(1-N($AG77)*MOD($AK77,12)/12)),IF($W77="DDB",IF(N($V77)&lt;=0,0,MIN(($S77-N($U77)),$S77-$S77*(1-MIN(1,24/$V77))^INT($AK77/12)*(1-MIN(1,24/$V77)*MOD($AK77,12)/12))),IF($W77="SYD",IF(N($V77)&lt;=0,0,($S77-N($U77))*(INT(MIN($AK77,$V77)/12)*(2*($V77/12)-INT(MIN($AK77,$V77)/12)+1)/2+MOD(MIN($AK77,$V77),12)/12*(($V77/12)-INT(MIN($AK77,$V77)/12)))/(($V77/12)*(($V77/12)+1)/2)),0))))),2))</f>
        <v/>
      </c>
      <c r="AM77" s="23">
        <f>IF($X77="","",$X77-$AL77)</f>
        <v/>
      </c>
      <c r="AN77" s="23">
        <f>IF(OR($AH77="",$Y77=""),"",N($AI77)-$Y77)</f>
        <v/>
      </c>
    </row>
    <row r="78">
      <c r="Q78" s="20" t="n"/>
      <c r="R78" s="20" t="n"/>
      <c r="S78" s="21" t="n"/>
      <c r="U78" s="21" t="n"/>
      <c r="V78" s="22" t="n"/>
      <c r="X78" s="23">
        <f>IF(OR($S78="",$R78=""),"",ROUND(MAX(0,IF($W78="Straight-line",IF(N($V78)&lt;=0,0,($S78-N($U78))*MIN($AJ78,$V78)/$V78),IF($W78="Reducing balance",MIN(($S78-N($U78)),$S78-$S78*(1-N($AG78))^INT($AJ78/12)*(1-N($AG78)*MOD($AJ78,12)/12)),IF($W78="DDB",IF(N($V78)&lt;=0,0,MIN(($S78-N($U78)),$S78-$S78*(1-MIN(1,24/$V78))^INT($AJ78/12)*(1-MIN(1,24/$V78)*MOD($AJ78,12)/12))),IF($W78="SYD",IF(N($V78)&lt;=0,0,($S78-N($U78))*(INT(MIN($AJ78,$V78)/12)*(2*($V78/12)-INT(MIN($AJ78,$V78)/12)+1)/2+MOD(MIN($AJ78,$V78),12)/12*(($V78/12)-INT(MIN($AJ78,$V78)/12)))/(($V78/12)*(($V78/12)+1)/2)),0))))),2))</f>
        <v/>
      </c>
      <c r="Y78" s="23">
        <f>IF($X78="","",$S78-$X78)</f>
        <v/>
      </c>
      <c r="AD78" s="20" t="n"/>
      <c r="AG78" s="24" t="n"/>
      <c r="AH78" s="20" t="n"/>
      <c r="AI78" s="21" t="n"/>
      <c r="AJ78" s="25">
        <f>IF($R78="","",IF($R78&gt;IF($AH78&lt;&gt;"",MIN($AH78,Settings!$B$3),Settings!$B$3),0,(YEAR(IF($AH78&lt;&gt;"",MIN($AH78,Settings!$B$3),Settings!$B$3))-YEAR($R78))*12+MONTH(IF($AH78&lt;&gt;"",MIN($AH78,Settings!$B$3),Settings!$B$3))-MONTH($R78)+1))</f>
        <v/>
      </c>
      <c r="AK78" s="25">
        <f>IF($R78="","",IF($R78&gt;MIN(Settings!$B$4-1,IF($AH78&lt;&gt;"",MIN($AH78,Settings!$B$3),Settings!$B$3)),0,(YEAR(MIN(Settings!$B$4-1,IF($AH78&lt;&gt;"",MIN($AH78,Settings!$B$3),Settings!$B$3)))-YEAR($R78))*12+MONTH(MIN(Settings!$B$4-1,IF($AH78&lt;&gt;"",MIN($AH78,Settings!$B$3),Settings!$B$3)))-MONTH($R78)+1))</f>
        <v/>
      </c>
      <c r="AL78" s="23">
        <f>IF(OR($S78="",$R78=""),"",ROUND(MAX(0,IF($W78="Straight-line",IF(N($V78)&lt;=0,0,($S78-N($U78))*MIN($AK78,$V78)/$V78),IF($W78="Reducing balance",MIN(($S78-N($U78)),$S78-$S78*(1-N($AG78))^INT($AK78/12)*(1-N($AG78)*MOD($AK78,12)/12)),IF($W78="DDB",IF(N($V78)&lt;=0,0,MIN(($S78-N($U78)),$S78-$S78*(1-MIN(1,24/$V78))^INT($AK78/12)*(1-MIN(1,24/$V78)*MOD($AK78,12)/12))),IF($W78="SYD",IF(N($V78)&lt;=0,0,($S78-N($U78))*(INT(MIN($AK78,$V78)/12)*(2*($V78/12)-INT(MIN($AK78,$V78)/12)+1)/2+MOD(MIN($AK78,$V78),12)/12*(($V78/12)-INT(MIN($AK78,$V78)/12)))/(($V78/12)*(($V78/12)+1)/2)),0))))),2))</f>
        <v/>
      </c>
      <c r="AM78" s="23">
        <f>IF($X78="","",$X78-$AL78)</f>
        <v/>
      </c>
      <c r="AN78" s="23">
        <f>IF(OR($AH78="",$Y78=""),"",N($AI78)-$Y78)</f>
        <v/>
      </c>
    </row>
    <row r="79">
      <c r="Q79" s="20" t="n"/>
      <c r="R79" s="20" t="n"/>
      <c r="S79" s="21" t="n"/>
      <c r="U79" s="21" t="n"/>
      <c r="V79" s="22" t="n"/>
      <c r="X79" s="23">
        <f>IF(OR($S79="",$R79=""),"",ROUND(MAX(0,IF($W79="Straight-line",IF(N($V79)&lt;=0,0,($S79-N($U79))*MIN($AJ79,$V79)/$V79),IF($W79="Reducing balance",MIN(($S79-N($U79)),$S79-$S79*(1-N($AG79))^INT($AJ79/12)*(1-N($AG79)*MOD($AJ79,12)/12)),IF($W79="DDB",IF(N($V79)&lt;=0,0,MIN(($S79-N($U79)),$S79-$S79*(1-MIN(1,24/$V79))^INT($AJ79/12)*(1-MIN(1,24/$V79)*MOD($AJ79,12)/12))),IF($W79="SYD",IF(N($V79)&lt;=0,0,($S79-N($U79))*(INT(MIN($AJ79,$V79)/12)*(2*($V79/12)-INT(MIN($AJ79,$V79)/12)+1)/2+MOD(MIN($AJ79,$V79),12)/12*(($V79/12)-INT(MIN($AJ79,$V79)/12)))/(($V79/12)*(($V79/12)+1)/2)),0))))),2))</f>
        <v/>
      </c>
      <c r="Y79" s="23">
        <f>IF($X79="","",$S79-$X79)</f>
        <v/>
      </c>
      <c r="AD79" s="20" t="n"/>
      <c r="AG79" s="24" t="n"/>
      <c r="AH79" s="20" t="n"/>
      <c r="AI79" s="21" t="n"/>
      <c r="AJ79" s="25">
        <f>IF($R79="","",IF($R79&gt;IF($AH79&lt;&gt;"",MIN($AH79,Settings!$B$3),Settings!$B$3),0,(YEAR(IF($AH79&lt;&gt;"",MIN($AH79,Settings!$B$3),Settings!$B$3))-YEAR($R79))*12+MONTH(IF($AH79&lt;&gt;"",MIN($AH79,Settings!$B$3),Settings!$B$3))-MONTH($R79)+1))</f>
        <v/>
      </c>
      <c r="AK79" s="25">
        <f>IF($R79="","",IF($R79&gt;MIN(Settings!$B$4-1,IF($AH79&lt;&gt;"",MIN($AH79,Settings!$B$3),Settings!$B$3)),0,(YEAR(MIN(Settings!$B$4-1,IF($AH79&lt;&gt;"",MIN($AH79,Settings!$B$3),Settings!$B$3)))-YEAR($R79))*12+MONTH(MIN(Settings!$B$4-1,IF($AH79&lt;&gt;"",MIN($AH79,Settings!$B$3),Settings!$B$3)))-MONTH($R79)+1))</f>
        <v/>
      </c>
      <c r="AL79" s="23">
        <f>IF(OR($S79="",$R79=""),"",ROUND(MAX(0,IF($W79="Straight-line",IF(N($V79)&lt;=0,0,($S79-N($U79))*MIN($AK79,$V79)/$V79),IF($W79="Reducing balance",MIN(($S79-N($U79)),$S79-$S79*(1-N($AG79))^INT($AK79/12)*(1-N($AG79)*MOD($AK79,12)/12)),IF($W79="DDB",IF(N($V79)&lt;=0,0,MIN(($S79-N($U79)),$S79-$S79*(1-MIN(1,24/$V79))^INT($AK79/12)*(1-MIN(1,24/$V79)*MOD($AK79,12)/12))),IF($W79="SYD",IF(N($V79)&lt;=0,0,($S79-N($U79))*(INT(MIN($AK79,$V79)/12)*(2*($V79/12)-INT(MIN($AK79,$V79)/12)+1)/2+MOD(MIN($AK79,$V79),12)/12*(($V79/12)-INT(MIN($AK79,$V79)/12)))/(($V79/12)*(($V79/12)+1)/2)),0))))),2))</f>
        <v/>
      </c>
      <c r="AM79" s="23">
        <f>IF($X79="","",$X79-$AL79)</f>
        <v/>
      </c>
      <c r="AN79" s="23">
        <f>IF(OR($AH79="",$Y79=""),"",N($AI79)-$Y79)</f>
        <v/>
      </c>
    </row>
    <row r="80">
      <c r="Q80" s="20" t="n"/>
      <c r="R80" s="20" t="n"/>
      <c r="S80" s="21" t="n"/>
      <c r="U80" s="21" t="n"/>
      <c r="V80" s="22" t="n"/>
      <c r="X80" s="23">
        <f>IF(OR($S80="",$R80=""),"",ROUND(MAX(0,IF($W80="Straight-line",IF(N($V80)&lt;=0,0,($S80-N($U80))*MIN($AJ80,$V80)/$V80),IF($W80="Reducing balance",MIN(($S80-N($U80)),$S80-$S80*(1-N($AG80))^INT($AJ80/12)*(1-N($AG80)*MOD($AJ80,12)/12)),IF($W80="DDB",IF(N($V80)&lt;=0,0,MIN(($S80-N($U80)),$S80-$S80*(1-MIN(1,24/$V80))^INT($AJ80/12)*(1-MIN(1,24/$V80)*MOD($AJ80,12)/12))),IF($W80="SYD",IF(N($V80)&lt;=0,0,($S80-N($U80))*(INT(MIN($AJ80,$V80)/12)*(2*($V80/12)-INT(MIN($AJ80,$V80)/12)+1)/2+MOD(MIN($AJ80,$V80),12)/12*(($V80/12)-INT(MIN($AJ80,$V80)/12)))/(($V80/12)*(($V80/12)+1)/2)),0))))),2))</f>
        <v/>
      </c>
      <c r="Y80" s="23">
        <f>IF($X80="","",$S80-$X80)</f>
        <v/>
      </c>
      <c r="AD80" s="20" t="n"/>
      <c r="AG80" s="24" t="n"/>
      <c r="AH80" s="20" t="n"/>
      <c r="AI80" s="21" t="n"/>
      <c r="AJ80" s="25">
        <f>IF($R80="","",IF($R80&gt;IF($AH80&lt;&gt;"",MIN($AH80,Settings!$B$3),Settings!$B$3),0,(YEAR(IF($AH80&lt;&gt;"",MIN($AH80,Settings!$B$3),Settings!$B$3))-YEAR($R80))*12+MONTH(IF($AH80&lt;&gt;"",MIN($AH80,Settings!$B$3),Settings!$B$3))-MONTH($R80)+1))</f>
        <v/>
      </c>
      <c r="AK80" s="25">
        <f>IF($R80="","",IF($R80&gt;MIN(Settings!$B$4-1,IF($AH80&lt;&gt;"",MIN($AH80,Settings!$B$3),Settings!$B$3)),0,(YEAR(MIN(Settings!$B$4-1,IF($AH80&lt;&gt;"",MIN($AH80,Settings!$B$3),Settings!$B$3)))-YEAR($R80))*12+MONTH(MIN(Settings!$B$4-1,IF($AH80&lt;&gt;"",MIN($AH80,Settings!$B$3),Settings!$B$3)))-MONTH($R80)+1))</f>
        <v/>
      </c>
      <c r="AL80" s="23">
        <f>IF(OR($S80="",$R80=""),"",ROUND(MAX(0,IF($W80="Straight-line",IF(N($V80)&lt;=0,0,($S80-N($U80))*MIN($AK80,$V80)/$V80),IF($W80="Reducing balance",MIN(($S80-N($U80)),$S80-$S80*(1-N($AG80))^INT($AK80/12)*(1-N($AG80)*MOD($AK80,12)/12)),IF($W80="DDB",IF(N($V80)&lt;=0,0,MIN(($S80-N($U80)),$S80-$S80*(1-MIN(1,24/$V80))^INT($AK80/12)*(1-MIN(1,24/$V80)*MOD($AK80,12)/12))),IF($W80="SYD",IF(N($V80)&lt;=0,0,($S80-N($U80))*(INT(MIN($AK80,$V80)/12)*(2*($V80/12)-INT(MIN($AK80,$V80)/12)+1)/2+MOD(MIN($AK80,$V80),12)/12*(($V80/12)-INT(MIN($AK80,$V80)/12)))/(($V80/12)*(($V80/12)+1)/2)),0))))),2))</f>
        <v/>
      </c>
      <c r="AM80" s="23">
        <f>IF($X80="","",$X80-$AL80)</f>
        <v/>
      </c>
      <c r="AN80" s="23">
        <f>IF(OR($AH80="",$Y80=""),"",N($AI80)-$Y80)</f>
        <v/>
      </c>
    </row>
    <row r="81">
      <c r="Q81" s="20" t="n"/>
      <c r="R81" s="20" t="n"/>
      <c r="S81" s="21" t="n"/>
      <c r="U81" s="21" t="n"/>
      <c r="V81" s="22" t="n"/>
      <c r="X81" s="23">
        <f>IF(OR($S81="",$R81=""),"",ROUND(MAX(0,IF($W81="Straight-line",IF(N($V81)&lt;=0,0,($S81-N($U81))*MIN($AJ81,$V81)/$V81),IF($W81="Reducing balance",MIN(($S81-N($U81)),$S81-$S81*(1-N($AG81))^INT($AJ81/12)*(1-N($AG81)*MOD($AJ81,12)/12)),IF($W81="DDB",IF(N($V81)&lt;=0,0,MIN(($S81-N($U81)),$S81-$S81*(1-MIN(1,24/$V81))^INT($AJ81/12)*(1-MIN(1,24/$V81)*MOD($AJ81,12)/12))),IF($W81="SYD",IF(N($V81)&lt;=0,0,($S81-N($U81))*(INT(MIN($AJ81,$V81)/12)*(2*($V81/12)-INT(MIN($AJ81,$V81)/12)+1)/2+MOD(MIN($AJ81,$V81),12)/12*(($V81/12)-INT(MIN($AJ81,$V81)/12)))/(($V81/12)*(($V81/12)+1)/2)),0))))),2))</f>
        <v/>
      </c>
      <c r="Y81" s="23">
        <f>IF($X81="","",$S81-$X81)</f>
        <v/>
      </c>
      <c r="AD81" s="20" t="n"/>
      <c r="AG81" s="24" t="n"/>
      <c r="AH81" s="20" t="n"/>
      <c r="AI81" s="21" t="n"/>
      <c r="AJ81" s="25">
        <f>IF($R81="","",IF($R81&gt;IF($AH81&lt;&gt;"",MIN($AH81,Settings!$B$3),Settings!$B$3),0,(YEAR(IF($AH81&lt;&gt;"",MIN($AH81,Settings!$B$3),Settings!$B$3))-YEAR($R81))*12+MONTH(IF($AH81&lt;&gt;"",MIN($AH81,Settings!$B$3),Settings!$B$3))-MONTH($R81)+1))</f>
        <v/>
      </c>
      <c r="AK81" s="25">
        <f>IF($R81="","",IF($R81&gt;MIN(Settings!$B$4-1,IF($AH81&lt;&gt;"",MIN($AH81,Settings!$B$3),Settings!$B$3)),0,(YEAR(MIN(Settings!$B$4-1,IF($AH81&lt;&gt;"",MIN($AH81,Settings!$B$3),Settings!$B$3)))-YEAR($R81))*12+MONTH(MIN(Settings!$B$4-1,IF($AH81&lt;&gt;"",MIN($AH81,Settings!$B$3),Settings!$B$3)))-MONTH($R81)+1))</f>
        <v/>
      </c>
      <c r="AL81" s="23">
        <f>IF(OR($S81="",$R81=""),"",ROUND(MAX(0,IF($W81="Straight-line",IF(N($V81)&lt;=0,0,($S81-N($U81))*MIN($AK81,$V81)/$V81),IF($W81="Reducing balance",MIN(($S81-N($U81)),$S81-$S81*(1-N($AG81))^INT($AK81/12)*(1-N($AG81)*MOD($AK81,12)/12)),IF($W81="DDB",IF(N($V81)&lt;=0,0,MIN(($S81-N($U81)),$S81-$S81*(1-MIN(1,24/$V81))^INT($AK81/12)*(1-MIN(1,24/$V81)*MOD($AK81,12)/12))),IF($W81="SYD",IF(N($V81)&lt;=0,0,($S81-N($U81))*(INT(MIN($AK81,$V81)/12)*(2*($V81/12)-INT(MIN($AK81,$V81)/12)+1)/2+MOD(MIN($AK81,$V81),12)/12*(($V81/12)-INT(MIN($AK81,$V81)/12)))/(($V81/12)*(($V81/12)+1)/2)),0))))),2))</f>
        <v/>
      </c>
      <c r="AM81" s="23">
        <f>IF($X81="","",$X81-$AL81)</f>
        <v/>
      </c>
      <c r="AN81" s="23">
        <f>IF(OR($AH81="",$Y81=""),"",N($AI81)-$Y81)</f>
        <v/>
      </c>
    </row>
    <row r="82">
      <c r="Q82" s="20" t="n"/>
      <c r="R82" s="20" t="n"/>
      <c r="S82" s="21" t="n"/>
      <c r="U82" s="21" t="n"/>
      <c r="V82" s="22" t="n"/>
      <c r="X82" s="23">
        <f>IF(OR($S82="",$R82=""),"",ROUND(MAX(0,IF($W82="Straight-line",IF(N($V82)&lt;=0,0,($S82-N($U82))*MIN($AJ82,$V82)/$V82),IF($W82="Reducing balance",MIN(($S82-N($U82)),$S82-$S82*(1-N($AG82))^INT($AJ82/12)*(1-N($AG82)*MOD($AJ82,12)/12)),IF($W82="DDB",IF(N($V82)&lt;=0,0,MIN(($S82-N($U82)),$S82-$S82*(1-MIN(1,24/$V82))^INT($AJ82/12)*(1-MIN(1,24/$V82)*MOD($AJ82,12)/12))),IF($W82="SYD",IF(N($V82)&lt;=0,0,($S82-N($U82))*(INT(MIN($AJ82,$V82)/12)*(2*($V82/12)-INT(MIN($AJ82,$V82)/12)+1)/2+MOD(MIN($AJ82,$V82),12)/12*(($V82/12)-INT(MIN($AJ82,$V82)/12)))/(($V82/12)*(($V82/12)+1)/2)),0))))),2))</f>
        <v/>
      </c>
      <c r="Y82" s="23">
        <f>IF($X82="","",$S82-$X82)</f>
        <v/>
      </c>
      <c r="AD82" s="20" t="n"/>
      <c r="AG82" s="24" t="n"/>
      <c r="AH82" s="20" t="n"/>
      <c r="AI82" s="21" t="n"/>
      <c r="AJ82" s="25">
        <f>IF($R82="","",IF($R82&gt;IF($AH82&lt;&gt;"",MIN($AH82,Settings!$B$3),Settings!$B$3),0,(YEAR(IF($AH82&lt;&gt;"",MIN($AH82,Settings!$B$3),Settings!$B$3))-YEAR($R82))*12+MONTH(IF($AH82&lt;&gt;"",MIN($AH82,Settings!$B$3),Settings!$B$3))-MONTH($R82)+1))</f>
        <v/>
      </c>
      <c r="AK82" s="25">
        <f>IF($R82="","",IF($R82&gt;MIN(Settings!$B$4-1,IF($AH82&lt;&gt;"",MIN($AH82,Settings!$B$3),Settings!$B$3)),0,(YEAR(MIN(Settings!$B$4-1,IF($AH82&lt;&gt;"",MIN($AH82,Settings!$B$3),Settings!$B$3)))-YEAR($R82))*12+MONTH(MIN(Settings!$B$4-1,IF($AH82&lt;&gt;"",MIN($AH82,Settings!$B$3),Settings!$B$3)))-MONTH($R82)+1))</f>
        <v/>
      </c>
      <c r="AL82" s="23">
        <f>IF(OR($S82="",$R82=""),"",ROUND(MAX(0,IF($W82="Straight-line",IF(N($V82)&lt;=0,0,($S82-N($U82))*MIN($AK82,$V82)/$V82),IF($W82="Reducing balance",MIN(($S82-N($U82)),$S82-$S82*(1-N($AG82))^INT($AK82/12)*(1-N($AG82)*MOD($AK82,12)/12)),IF($W82="DDB",IF(N($V82)&lt;=0,0,MIN(($S82-N($U82)),$S82-$S82*(1-MIN(1,24/$V82))^INT($AK82/12)*(1-MIN(1,24/$V82)*MOD($AK82,12)/12))),IF($W82="SYD",IF(N($V82)&lt;=0,0,($S82-N($U82))*(INT(MIN($AK82,$V82)/12)*(2*($V82/12)-INT(MIN($AK82,$V82)/12)+1)/2+MOD(MIN($AK82,$V82),12)/12*(($V82/12)-INT(MIN($AK82,$V82)/12)))/(($V82/12)*(($V82/12)+1)/2)),0))))),2))</f>
        <v/>
      </c>
      <c r="AM82" s="23">
        <f>IF($X82="","",$X82-$AL82)</f>
        <v/>
      </c>
      <c r="AN82" s="23">
        <f>IF(OR($AH82="",$Y82=""),"",N($AI82)-$Y82)</f>
        <v/>
      </c>
    </row>
    <row r="83">
      <c r="Q83" s="20" t="n"/>
      <c r="R83" s="20" t="n"/>
      <c r="S83" s="21" t="n"/>
      <c r="U83" s="21" t="n"/>
      <c r="V83" s="22" t="n"/>
      <c r="X83" s="23">
        <f>IF(OR($S83="",$R83=""),"",ROUND(MAX(0,IF($W83="Straight-line",IF(N($V83)&lt;=0,0,($S83-N($U83))*MIN($AJ83,$V83)/$V83),IF($W83="Reducing balance",MIN(($S83-N($U83)),$S83-$S83*(1-N($AG83))^INT($AJ83/12)*(1-N($AG83)*MOD($AJ83,12)/12)),IF($W83="DDB",IF(N($V83)&lt;=0,0,MIN(($S83-N($U83)),$S83-$S83*(1-MIN(1,24/$V83))^INT($AJ83/12)*(1-MIN(1,24/$V83)*MOD($AJ83,12)/12))),IF($W83="SYD",IF(N($V83)&lt;=0,0,($S83-N($U83))*(INT(MIN($AJ83,$V83)/12)*(2*($V83/12)-INT(MIN($AJ83,$V83)/12)+1)/2+MOD(MIN($AJ83,$V83),12)/12*(($V83/12)-INT(MIN($AJ83,$V83)/12)))/(($V83/12)*(($V83/12)+1)/2)),0))))),2))</f>
        <v/>
      </c>
      <c r="Y83" s="23">
        <f>IF($X83="","",$S83-$X83)</f>
        <v/>
      </c>
      <c r="AD83" s="20" t="n"/>
      <c r="AG83" s="24" t="n"/>
      <c r="AH83" s="20" t="n"/>
      <c r="AI83" s="21" t="n"/>
      <c r="AJ83" s="25">
        <f>IF($R83="","",IF($R83&gt;IF($AH83&lt;&gt;"",MIN($AH83,Settings!$B$3),Settings!$B$3),0,(YEAR(IF($AH83&lt;&gt;"",MIN($AH83,Settings!$B$3),Settings!$B$3))-YEAR($R83))*12+MONTH(IF($AH83&lt;&gt;"",MIN($AH83,Settings!$B$3),Settings!$B$3))-MONTH($R83)+1))</f>
        <v/>
      </c>
      <c r="AK83" s="25">
        <f>IF($R83="","",IF($R83&gt;MIN(Settings!$B$4-1,IF($AH83&lt;&gt;"",MIN($AH83,Settings!$B$3),Settings!$B$3)),0,(YEAR(MIN(Settings!$B$4-1,IF($AH83&lt;&gt;"",MIN($AH83,Settings!$B$3),Settings!$B$3)))-YEAR($R83))*12+MONTH(MIN(Settings!$B$4-1,IF($AH83&lt;&gt;"",MIN($AH83,Settings!$B$3),Settings!$B$3)))-MONTH($R83)+1))</f>
        <v/>
      </c>
      <c r="AL83" s="23">
        <f>IF(OR($S83="",$R83=""),"",ROUND(MAX(0,IF($W83="Straight-line",IF(N($V83)&lt;=0,0,($S83-N($U83))*MIN($AK83,$V83)/$V83),IF($W83="Reducing balance",MIN(($S83-N($U83)),$S83-$S83*(1-N($AG83))^INT($AK83/12)*(1-N($AG83)*MOD($AK83,12)/12)),IF($W83="DDB",IF(N($V83)&lt;=0,0,MIN(($S83-N($U83)),$S83-$S83*(1-MIN(1,24/$V83))^INT($AK83/12)*(1-MIN(1,24/$V83)*MOD($AK83,12)/12))),IF($W83="SYD",IF(N($V83)&lt;=0,0,($S83-N($U83))*(INT(MIN($AK83,$V83)/12)*(2*($V83/12)-INT(MIN($AK83,$V83)/12)+1)/2+MOD(MIN($AK83,$V83),12)/12*(($V83/12)-INT(MIN($AK83,$V83)/12)))/(($V83/12)*(($V83/12)+1)/2)),0))))),2))</f>
        <v/>
      </c>
      <c r="AM83" s="23">
        <f>IF($X83="","",$X83-$AL83)</f>
        <v/>
      </c>
      <c r="AN83" s="23">
        <f>IF(OR($AH83="",$Y83=""),"",N($AI83)-$Y83)</f>
        <v/>
      </c>
    </row>
    <row r="84">
      <c r="Q84" s="20" t="n"/>
      <c r="R84" s="20" t="n"/>
      <c r="S84" s="21" t="n"/>
      <c r="U84" s="21" t="n"/>
      <c r="V84" s="22" t="n"/>
      <c r="X84" s="23">
        <f>IF(OR($S84="",$R84=""),"",ROUND(MAX(0,IF($W84="Straight-line",IF(N($V84)&lt;=0,0,($S84-N($U84))*MIN($AJ84,$V84)/$V84),IF($W84="Reducing balance",MIN(($S84-N($U84)),$S84-$S84*(1-N($AG84))^INT($AJ84/12)*(1-N($AG84)*MOD($AJ84,12)/12)),IF($W84="DDB",IF(N($V84)&lt;=0,0,MIN(($S84-N($U84)),$S84-$S84*(1-MIN(1,24/$V84))^INT($AJ84/12)*(1-MIN(1,24/$V84)*MOD($AJ84,12)/12))),IF($W84="SYD",IF(N($V84)&lt;=0,0,($S84-N($U84))*(INT(MIN($AJ84,$V84)/12)*(2*($V84/12)-INT(MIN($AJ84,$V84)/12)+1)/2+MOD(MIN($AJ84,$V84),12)/12*(($V84/12)-INT(MIN($AJ84,$V84)/12)))/(($V84/12)*(($V84/12)+1)/2)),0))))),2))</f>
        <v/>
      </c>
      <c r="Y84" s="23">
        <f>IF($X84="","",$S84-$X84)</f>
        <v/>
      </c>
      <c r="AD84" s="20" t="n"/>
      <c r="AG84" s="24" t="n"/>
      <c r="AH84" s="20" t="n"/>
      <c r="AI84" s="21" t="n"/>
      <c r="AJ84" s="25">
        <f>IF($R84="","",IF($R84&gt;IF($AH84&lt;&gt;"",MIN($AH84,Settings!$B$3),Settings!$B$3),0,(YEAR(IF($AH84&lt;&gt;"",MIN($AH84,Settings!$B$3),Settings!$B$3))-YEAR($R84))*12+MONTH(IF($AH84&lt;&gt;"",MIN($AH84,Settings!$B$3),Settings!$B$3))-MONTH($R84)+1))</f>
        <v/>
      </c>
      <c r="AK84" s="25">
        <f>IF($R84="","",IF($R84&gt;MIN(Settings!$B$4-1,IF($AH84&lt;&gt;"",MIN($AH84,Settings!$B$3),Settings!$B$3)),0,(YEAR(MIN(Settings!$B$4-1,IF($AH84&lt;&gt;"",MIN($AH84,Settings!$B$3),Settings!$B$3)))-YEAR($R84))*12+MONTH(MIN(Settings!$B$4-1,IF($AH84&lt;&gt;"",MIN($AH84,Settings!$B$3),Settings!$B$3)))-MONTH($R84)+1))</f>
        <v/>
      </c>
      <c r="AL84" s="23">
        <f>IF(OR($S84="",$R84=""),"",ROUND(MAX(0,IF($W84="Straight-line",IF(N($V84)&lt;=0,0,($S84-N($U84))*MIN($AK84,$V84)/$V84),IF($W84="Reducing balance",MIN(($S84-N($U84)),$S84-$S84*(1-N($AG84))^INT($AK84/12)*(1-N($AG84)*MOD($AK84,12)/12)),IF($W84="DDB",IF(N($V84)&lt;=0,0,MIN(($S84-N($U84)),$S84-$S84*(1-MIN(1,24/$V84))^INT($AK84/12)*(1-MIN(1,24/$V84)*MOD($AK84,12)/12))),IF($W84="SYD",IF(N($V84)&lt;=0,0,($S84-N($U84))*(INT(MIN($AK84,$V84)/12)*(2*($V84/12)-INT(MIN($AK84,$V84)/12)+1)/2+MOD(MIN($AK84,$V84),12)/12*(($V84/12)-INT(MIN($AK84,$V84)/12)))/(($V84/12)*(($V84/12)+1)/2)),0))))),2))</f>
        <v/>
      </c>
      <c r="AM84" s="23">
        <f>IF($X84="","",$X84-$AL84)</f>
        <v/>
      </c>
      <c r="AN84" s="23">
        <f>IF(OR($AH84="",$Y84=""),"",N($AI84)-$Y84)</f>
        <v/>
      </c>
    </row>
    <row r="85">
      <c r="Q85" s="20" t="n"/>
      <c r="R85" s="20" t="n"/>
      <c r="S85" s="21" t="n"/>
      <c r="U85" s="21" t="n"/>
      <c r="V85" s="22" t="n"/>
      <c r="X85" s="23">
        <f>IF(OR($S85="",$R85=""),"",ROUND(MAX(0,IF($W85="Straight-line",IF(N($V85)&lt;=0,0,($S85-N($U85))*MIN($AJ85,$V85)/$V85),IF($W85="Reducing balance",MIN(($S85-N($U85)),$S85-$S85*(1-N($AG85))^INT($AJ85/12)*(1-N($AG85)*MOD($AJ85,12)/12)),IF($W85="DDB",IF(N($V85)&lt;=0,0,MIN(($S85-N($U85)),$S85-$S85*(1-MIN(1,24/$V85))^INT($AJ85/12)*(1-MIN(1,24/$V85)*MOD($AJ85,12)/12))),IF($W85="SYD",IF(N($V85)&lt;=0,0,($S85-N($U85))*(INT(MIN($AJ85,$V85)/12)*(2*($V85/12)-INT(MIN($AJ85,$V85)/12)+1)/2+MOD(MIN($AJ85,$V85),12)/12*(($V85/12)-INT(MIN($AJ85,$V85)/12)))/(($V85/12)*(($V85/12)+1)/2)),0))))),2))</f>
        <v/>
      </c>
      <c r="Y85" s="23">
        <f>IF($X85="","",$S85-$X85)</f>
        <v/>
      </c>
      <c r="AD85" s="20" t="n"/>
      <c r="AG85" s="24" t="n"/>
      <c r="AH85" s="20" t="n"/>
      <c r="AI85" s="21" t="n"/>
      <c r="AJ85" s="25">
        <f>IF($R85="","",IF($R85&gt;IF($AH85&lt;&gt;"",MIN($AH85,Settings!$B$3),Settings!$B$3),0,(YEAR(IF($AH85&lt;&gt;"",MIN($AH85,Settings!$B$3),Settings!$B$3))-YEAR($R85))*12+MONTH(IF($AH85&lt;&gt;"",MIN($AH85,Settings!$B$3),Settings!$B$3))-MONTH($R85)+1))</f>
        <v/>
      </c>
      <c r="AK85" s="25">
        <f>IF($R85="","",IF($R85&gt;MIN(Settings!$B$4-1,IF($AH85&lt;&gt;"",MIN($AH85,Settings!$B$3),Settings!$B$3)),0,(YEAR(MIN(Settings!$B$4-1,IF($AH85&lt;&gt;"",MIN($AH85,Settings!$B$3),Settings!$B$3)))-YEAR($R85))*12+MONTH(MIN(Settings!$B$4-1,IF($AH85&lt;&gt;"",MIN($AH85,Settings!$B$3),Settings!$B$3)))-MONTH($R85)+1))</f>
        <v/>
      </c>
      <c r="AL85" s="23">
        <f>IF(OR($S85="",$R85=""),"",ROUND(MAX(0,IF($W85="Straight-line",IF(N($V85)&lt;=0,0,($S85-N($U85))*MIN($AK85,$V85)/$V85),IF($W85="Reducing balance",MIN(($S85-N($U85)),$S85-$S85*(1-N($AG85))^INT($AK85/12)*(1-N($AG85)*MOD($AK85,12)/12)),IF($W85="DDB",IF(N($V85)&lt;=0,0,MIN(($S85-N($U85)),$S85-$S85*(1-MIN(1,24/$V85))^INT($AK85/12)*(1-MIN(1,24/$V85)*MOD($AK85,12)/12))),IF($W85="SYD",IF(N($V85)&lt;=0,0,($S85-N($U85))*(INT(MIN($AK85,$V85)/12)*(2*($V85/12)-INT(MIN($AK85,$V85)/12)+1)/2+MOD(MIN($AK85,$V85),12)/12*(($V85/12)-INT(MIN($AK85,$V85)/12)))/(($V85/12)*(($V85/12)+1)/2)),0))))),2))</f>
        <v/>
      </c>
      <c r="AM85" s="23">
        <f>IF($X85="","",$X85-$AL85)</f>
        <v/>
      </c>
      <c r="AN85" s="23">
        <f>IF(OR($AH85="",$Y85=""),"",N($AI85)-$Y85)</f>
        <v/>
      </c>
    </row>
    <row r="86">
      <c r="Q86" s="20" t="n"/>
      <c r="R86" s="20" t="n"/>
      <c r="S86" s="21" t="n"/>
      <c r="U86" s="21" t="n"/>
      <c r="V86" s="22" t="n"/>
      <c r="X86" s="23">
        <f>IF(OR($S86="",$R86=""),"",ROUND(MAX(0,IF($W86="Straight-line",IF(N($V86)&lt;=0,0,($S86-N($U86))*MIN($AJ86,$V86)/$V86),IF($W86="Reducing balance",MIN(($S86-N($U86)),$S86-$S86*(1-N($AG86))^INT($AJ86/12)*(1-N($AG86)*MOD($AJ86,12)/12)),IF($W86="DDB",IF(N($V86)&lt;=0,0,MIN(($S86-N($U86)),$S86-$S86*(1-MIN(1,24/$V86))^INT($AJ86/12)*(1-MIN(1,24/$V86)*MOD($AJ86,12)/12))),IF($W86="SYD",IF(N($V86)&lt;=0,0,($S86-N($U86))*(INT(MIN($AJ86,$V86)/12)*(2*($V86/12)-INT(MIN($AJ86,$V86)/12)+1)/2+MOD(MIN($AJ86,$V86),12)/12*(($V86/12)-INT(MIN($AJ86,$V86)/12)))/(($V86/12)*(($V86/12)+1)/2)),0))))),2))</f>
        <v/>
      </c>
      <c r="Y86" s="23">
        <f>IF($X86="","",$S86-$X86)</f>
        <v/>
      </c>
      <c r="AD86" s="20" t="n"/>
      <c r="AG86" s="24" t="n"/>
      <c r="AH86" s="20" t="n"/>
      <c r="AI86" s="21" t="n"/>
      <c r="AJ86" s="25">
        <f>IF($R86="","",IF($R86&gt;IF($AH86&lt;&gt;"",MIN($AH86,Settings!$B$3),Settings!$B$3),0,(YEAR(IF($AH86&lt;&gt;"",MIN($AH86,Settings!$B$3),Settings!$B$3))-YEAR($R86))*12+MONTH(IF($AH86&lt;&gt;"",MIN($AH86,Settings!$B$3),Settings!$B$3))-MONTH($R86)+1))</f>
        <v/>
      </c>
      <c r="AK86" s="25">
        <f>IF($R86="","",IF($R86&gt;MIN(Settings!$B$4-1,IF($AH86&lt;&gt;"",MIN($AH86,Settings!$B$3),Settings!$B$3)),0,(YEAR(MIN(Settings!$B$4-1,IF($AH86&lt;&gt;"",MIN($AH86,Settings!$B$3),Settings!$B$3)))-YEAR($R86))*12+MONTH(MIN(Settings!$B$4-1,IF($AH86&lt;&gt;"",MIN($AH86,Settings!$B$3),Settings!$B$3)))-MONTH($R86)+1))</f>
        <v/>
      </c>
      <c r="AL86" s="23">
        <f>IF(OR($S86="",$R86=""),"",ROUND(MAX(0,IF($W86="Straight-line",IF(N($V86)&lt;=0,0,($S86-N($U86))*MIN($AK86,$V86)/$V86),IF($W86="Reducing balance",MIN(($S86-N($U86)),$S86-$S86*(1-N($AG86))^INT($AK86/12)*(1-N($AG86)*MOD($AK86,12)/12)),IF($W86="DDB",IF(N($V86)&lt;=0,0,MIN(($S86-N($U86)),$S86-$S86*(1-MIN(1,24/$V86))^INT($AK86/12)*(1-MIN(1,24/$V86)*MOD($AK86,12)/12))),IF($W86="SYD",IF(N($V86)&lt;=0,0,($S86-N($U86))*(INT(MIN($AK86,$V86)/12)*(2*($V86/12)-INT(MIN($AK86,$V86)/12)+1)/2+MOD(MIN($AK86,$V86),12)/12*(($V86/12)-INT(MIN($AK86,$V86)/12)))/(($V86/12)*(($V86/12)+1)/2)),0))))),2))</f>
        <v/>
      </c>
      <c r="AM86" s="23">
        <f>IF($X86="","",$X86-$AL86)</f>
        <v/>
      </c>
      <c r="AN86" s="23">
        <f>IF(OR($AH86="",$Y86=""),"",N($AI86)-$Y86)</f>
        <v/>
      </c>
    </row>
    <row r="87">
      <c r="Q87" s="20" t="n"/>
      <c r="R87" s="20" t="n"/>
      <c r="S87" s="21" t="n"/>
      <c r="U87" s="21" t="n"/>
      <c r="V87" s="22" t="n"/>
      <c r="X87" s="23">
        <f>IF(OR($S87="",$R87=""),"",ROUND(MAX(0,IF($W87="Straight-line",IF(N($V87)&lt;=0,0,($S87-N($U87))*MIN($AJ87,$V87)/$V87),IF($W87="Reducing balance",MIN(($S87-N($U87)),$S87-$S87*(1-N($AG87))^INT($AJ87/12)*(1-N($AG87)*MOD($AJ87,12)/12)),IF($W87="DDB",IF(N($V87)&lt;=0,0,MIN(($S87-N($U87)),$S87-$S87*(1-MIN(1,24/$V87))^INT($AJ87/12)*(1-MIN(1,24/$V87)*MOD($AJ87,12)/12))),IF($W87="SYD",IF(N($V87)&lt;=0,0,($S87-N($U87))*(INT(MIN($AJ87,$V87)/12)*(2*($V87/12)-INT(MIN($AJ87,$V87)/12)+1)/2+MOD(MIN($AJ87,$V87),12)/12*(($V87/12)-INT(MIN($AJ87,$V87)/12)))/(($V87/12)*(($V87/12)+1)/2)),0))))),2))</f>
        <v/>
      </c>
      <c r="Y87" s="23">
        <f>IF($X87="","",$S87-$X87)</f>
        <v/>
      </c>
      <c r="AD87" s="20" t="n"/>
      <c r="AG87" s="24" t="n"/>
      <c r="AH87" s="20" t="n"/>
      <c r="AI87" s="21" t="n"/>
      <c r="AJ87" s="25">
        <f>IF($R87="","",IF($R87&gt;IF($AH87&lt;&gt;"",MIN($AH87,Settings!$B$3),Settings!$B$3),0,(YEAR(IF($AH87&lt;&gt;"",MIN($AH87,Settings!$B$3),Settings!$B$3))-YEAR($R87))*12+MONTH(IF($AH87&lt;&gt;"",MIN($AH87,Settings!$B$3),Settings!$B$3))-MONTH($R87)+1))</f>
        <v/>
      </c>
      <c r="AK87" s="25">
        <f>IF($R87="","",IF($R87&gt;MIN(Settings!$B$4-1,IF($AH87&lt;&gt;"",MIN($AH87,Settings!$B$3),Settings!$B$3)),0,(YEAR(MIN(Settings!$B$4-1,IF($AH87&lt;&gt;"",MIN($AH87,Settings!$B$3),Settings!$B$3)))-YEAR($R87))*12+MONTH(MIN(Settings!$B$4-1,IF($AH87&lt;&gt;"",MIN($AH87,Settings!$B$3),Settings!$B$3)))-MONTH($R87)+1))</f>
        <v/>
      </c>
      <c r="AL87" s="23">
        <f>IF(OR($S87="",$R87=""),"",ROUND(MAX(0,IF($W87="Straight-line",IF(N($V87)&lt;=0,0,($S87-N($U87))*MIN($AK87,$V87)/$V87),IF($W87="Reducing balance",MIN(($S87-N($U87)),$S87-$S87*(1-N($AG87))^INT($AK87/12)*(1-N($AG87)*MOD($AK87,12)/12)),IF($W87="DDB",IF(N($V87)&lt;=0,0,MIN(($S87-N($U87)),$S87-$S87*(1-MIN(1,24/$V87))^INT($AK87/12)*(1-MIN(1,24/$V87)*MOD($AK87,12)/12))),IF($W87="SYD",IF(N($V87)&lt;=0,0,($S87-N($U87))*(INT(MIN($AK87,$V87)/12)*(2*($V87/12)-INT(MIN($AK87,$V87)/12)+1)/2+MOD(MIN($AK87,$V87),12)/12*(($V87/12)-INT(MIN($AK87,$V87)/12)))/(($V87/12)*(($V87/12)+1)/2)),0))))),2))</f>
        <v/>
      </c>
      <c r="AM87" s="23">
        <f>IF($X87="","",$X87-$AL87)</f>
        <v/>
      </c>
      <c r="AN87" s="23">
        <f>IF(OR($AH87="",$Y87=""),"",N($AI87)-$Y87)</f>
        <v/>
      </c>
    </row>
    <row r="88">
      <c r="Q88" s="20" t="n"/>
      <c r="R88" s="20" t="n"/>
      <c r="S88" s="21" t="n"/>
      <c r="U88" s="21" t="n"/>
      <c r="V88" s="22" t="n"/>
      <c r="X88" s="23">
        <f>IF(OR($S88="",$R88=""),"",ROUND(MAX(0,IF($W88="Straight-line",IF(N($V88)&lt;=0,0,($S88-N($U88))*MIN($AJ88,$V88)/$V88),IF($W88="Reducing balance",MIN(($S88-N($U88)),$S88-$S88*(1-N($AG88))^INT($AJ88/12)*(1-N($AG88)*MOD($AJ88,12)/12)),IF($W88="DDB",IF(N($V88)&lt;=0,0,MIN(($S88-N($U88)),$S88-$S88*(1-MIN(1,24/$V88))^INT($AJ88/12)*(1-MIN(1,24/$V88)*MOD($AJ88,12)/12))),IF($W88="SYD",IF(N($V88)&lt;=0,0,($S88-N($U88))*(INT(MIN($AJ88,$V88)/12)*(2*($V88/12)-INT(MIN($AJ88,$V88)/12)+1)/2+MOD(MIN($AJ88,$V88),12)/12*(($V88/12)-INT(MIN($AJ88,$V88)/12)))/(($V88/12)*(($V88/12)+1)/2)),0))))),2))</f>
        <v/>
      </c>
      <c r="Y88" s="23">
        <f>IF($X88="","",$S88-$X88)</f>
        <v/>
      </c>
      <c r="AD88" s="20" t="n"/>
      <c r="AG88" s="24" t="n"/>
      <c r="AH88" s="20" t="n"/>
      <c r="AI88" s="21" t="n"/>
      <c r="AJ88" s="25">
        <f>IF($R88="","",IF($R88&gt;IF($AH88&lt;&gt;"",MIN($AH88,Settings!$B$3),Settings!$B$3),0,(YEAR(IF($AH88&lt;&gt;"",MIN($AH88,Settings!$B$3),Settings!$B$3))-YEAR($R88))*12+MONTH(IF($AH88&lt;&gt;"",MIN($AH88,Settings!$B$3),Settings!$B$3))-MONTH($R88)+1))</f>
        <v/>
      </c>
      <c r="AK88" s="25">
        <f>IF($R88="","",IF($R88&gt;MIN(Settings!$B$4-1,IF($AH88&lt;&gt;"",MIN($AH88,Settings!$B$3),Settings!$B$3)),0,(YEAR(MIN(Settings!$B$4-1,IF($AH88&lt;&gt;"",MIN($AH88,Settings!$B$3),Settings!$B$3)))-YEAR($R88))*12+MONTH(MIN(Settings!$B$4-1,IF($AH88&lt;&gt;"",MIN($AH88,Settings!$B$3),Settings!$B$3)))-MONTH($R88)+1))</f>
        <v/>
      </c>
      <c r="AL88" s="23">
        <f>IF(OR($S88="",$R88=""),"",ROUND(MAX(0,IF($W88="Straight-line",IF(N($V88)&lt;=0,0,($S88-N($U88))*MIN($AK88,$V88)/$V88),IF($W88="Reducing balance",MIN(($S88-N($U88)),$S88-$S88*(1-N($AG88))^INT($AK88/12)*(1-N($AG88)*MOD($AK88,12)/12)),IF($W88="DDB",IF(N($V88)&lt;=0,0,MIN(($S88-N($U88)),$S88-$S88*(1-MIN(1,24/$V88))^INT($AK88/12)*(1-MIN(1,24/$V88)*MOD($AK88,12)/12))),IF($W88="SYD",IF(N($V88)&lt;=0,0,($S88-N($U88))*(INT(MIN($AK88,$V88)/12)*(2*($V88/12)-INT(MIN($AK88,$V88)/12)+1)/2+MOD(MIN($AK88,$V88),12)/12*(($V88/12)-INT(MIN($AK88,$V88)/12)))/(($V88/12)*(($V88/12)+1)/2)),0))))),2))</f>
        <v/>
      </c>
      <c r="AM88" s="23">
        <f>IF($X88="","",$X88-$AL88)</f>
        <v/>
      </c>
      <c r="AN88" s="23">
        <f>IF(OR($AH88="",$Y88=""),"",N($AI88)-$Y88)</f>
        <v/>
      </c>
    </row>
    <row r="89">
      <c r="Q89" s="20" t="n"/>
      <c r="R89" s="20" t="n"/>
      <c r="S89" s="21" t="n"/>
      <c r="U89" s="21" t="n"/>
      <c r="V89" s="22" t="n"/>
      <c r="X89" s="23">
        <f>IF(OR($S89="",$R89=""),"",ROUND(MAX(0,IF($W89="Straight-line",IF(N($V89)&lt;=0,0,($S89-N($U89))*MIN($AJ89,$V89)/$V89),IF($W89="Reducing balance",MIN(($S89-N($U89)),$S89-$S89*(1-N($AG89))^INT($AJ89/12)*(1-N($AG89)*MOD($AJ89,12)/12)),IF($W89="DDB",IF(N($V89)&lt;=0,0,MIN(($S89-N($U89)),$S89-$S89*(1-MIN(1,24/$V89))^INT($AJ89/12)*(1-MIN(1,24/$V89)*MOD($AJ89,12)/12))),IF($W89="SYD",IF(N($V89)&lt;=0,0,($S89-N($U89))*(INT(MIN($AJ89,$V89)/12)*(2*($V89/12)-INT(MIN($AJ89,$V89)/12)+1)/2+MOD(MIN($AJ89,$V89),12)/12*(($V89/12)-INT(MIN($AJ89,$V89)/12)))/(($V89/12)*(($V89/12)+1)/2)),0))))),2))</f>
        <v/>
      </c>
      <c r="Y89" s="23">
        <f>IF($X89="","",$S89-$X89)</f>
        <v/>
      </c>
      <c r="AD89" s="20" t="n"/>
      <c r="AG89" s="24" t="n"/>
      <c r="AH89" s="20" t="n"/>
      <c r="AI89" s="21" t="n"/>
      <c r="AJ89" s="25">
        <f>IF($R89="","",IF($R89&gt;IF($AH89&lt;&gt;"",MIN($AH89,Settings!$B$3),Settings!$B$3),0,(YEAR(IF($AH89&lt;&gt;"",MIN($AH89,Settings!$B$3),Settings!$B$3))-YEAR($R89))*12+MONTH(IF($AH89&lt;&gt;"",MIN($AH89,Settings!$B$3),Settings!$B$3))-MONTH($R89)+1))</f>
        <v/>
      </c>
      <c r="AK89" s="25">
        <f>IF($R89="","",IF($R89&gt;MIN(Settings!$B$4-1,IF($AH89&lt;&gt;"",MIN($AH89,Settings!$B$3),Settings!$B$3)),0,(YEAR(MIN(Settings!$B$4-1,IF($AH89&lt;&gt;"",MIN($AH89,Settings!$B$3),Settings!$B$3)))-YEAR($R89))*12+MONTH(MIN(Settings!$B$4-1,IF($AH89&lt;&gt;"",MIN($AH89,Settings!$B$3),Settings!$B$3)))-MONTH($R89)+1))</f>
        <v/>
      </c>
      <c r="AL89" s="23">
        <f>IF(OR($S89="",$R89=""),"",ROUND(MAX(0,IF($W89="Straight-line",IF(N($V89)&lt;=0,0,($S89-N($U89))*MIN($AK89,$V89)/$V89),IF($W89="Reducing balance",MIN(($S89-N($U89)),$S89-$S89*(1-N($AG89))^INT($AK89/12)*(1-N($AG89)*MOD($AK89,12)/12)),IF($W89="DDB",IF(N($V89)&lt;=0,0,MIN(($S89-N($U89)),$S89-$S89*(1-MIN(1,24/$V89))^INT($AK89/12)*(1-MIN(1,24/$V89)*MOD($AK89,12)/12))),IF($W89="SYD",IF(N($V89)&lt;=0,0,($S89-N($U89))*(INT(MIN($AK89,$V89)/12)*(2*($V89/12)-INT(MIN($AK89,$V89)/12)+1)/2+MOD(MIN($AK89,$V89),12)/12*(($V89/12)-INT(MIN($AK89,$V89)/12)))/(($V89/12)*(($V89/12)+1)/2)),0))))),2))</f>
        <v/>
      </c>
      <c r="AM89" s="23">
        <f>IF($X89="","",$X89-$AL89)</f>
        <v/>
      </c>
      <c r="AN89" s="23">
        <f>IF(OR($AH89="",$Y89=""),"",N($AI89)-$Y89)</f>
        <v/>
      </c>
    </row>
    <row r="90">
      <c r="Q90" s="20" t="n"/>
      <c r="R90" s="20" t="n"/>
      <c r="S90" s="21" t="n"/>
      <c r="U90" s="21" t="n"/>
      <c r="V90" s="22" t="n"/>
      <c r="X90" s="23">
        <f>IF(OR($S90="",$R90=""),"",ROUND(MAX(0,IF($W90="Straight-line",IF(N($V90)&lt;=0,0,($S90-N($U90))*MIN($AJ90,$V90)/$V90),IF($W90="Reducing balance",MIN(($S90-N($U90)),$S90-$S90*(1-N($AG90))^INT($AJ90/12)*(1-N($AG90)*MOD($AJ90,12)/12)),IF($W90="DDB",IF(N($V90)&lt;=0,0,MIN(($S90-N($U90)),$S90-$S90*(1-MIN(1,24/$V90))^INT($AJ90/12)*(1-MIN(1,24/$V90)*MOD($AJ90,12)/12))),IF($W90="SYD",IF(N($V90)&lt;=0,0,($S90-N($U90))*(INT(MIN($AJ90,$V90)/12)*(2*($V90/12)-INT(MIN($AJ90,$V90)/12)+1)/2+MOD(MIN($AJ90,$V90),12)/12*(($V90/12)-INT(MIN($AJ90,$V90)/12)))/(($V90/12)*(($V90/12)+1)/2)),0))))),2))</f>
        <v/>
      </c>
      <c r="Y90" s="23">
        <f>IF($X90="","",$S90-$X90)</f>
        <v/>
      </c>
      <c r="AD90" s="20" t="n"/>
      <c r="AG90" s="24" t="n"/>
      <c r="AH90" s="20" t="n"/>
      <c r="AI90" s="21" t="n"/>
      <c r="AJ90" s="25">
        <f>IF($R90="","",IF($R90&gt;IF($AH90&lt;&gt;"",MIN($AH90,Settings!$B$3),Settings!$B$3),0,(YEAR(IF($AH90&lt;&gt;"",MIN($AH90,Settings!$B$3),Settings!$B$3))-YEAR($R90))*12+MONTH(IF($AH90&lt;&gt;"",MIN($AH90,Settings!$B$3),Settings!$B$3))-MONTH($R90)+1))</f>
        <v/>
      </c>
      <c r="AK90" s="25">
        <f>IF($R90="","",IF($R90&gt;MIN(Settings!$B$4-1,IF($AH90&lt;&gt;"",MIN($AH90,Settings!$B$3),Settings!$B$3)),0,(YEAR(MIN(Settings!$B$4-1,IF($AH90&lt;&gt;"",MIN($AH90,Settings!$B$3),Settings!$B$3)))-YEAR($R90))*12+MONTH(MIN(Settings!$B$4-1,IF($AH90&lt;&gt;"",MIN($AH90,Settings!$B$3),Settings!$B$3)))-MONTH($R90)+1))</f>
        <v/>
      </c>
      <c r="AL90" s="23">
        <f>IF(OR($S90="",$R90=""),"",ROUND(MAX(0,IF($W90="Straight-line",IF(N($V90)&lt;=0,0,($S90-N($U90))*MIN($AK90,$V90)/$V90),IF($W90="Reducing balance",MIN(($S90-N($U90)),$S90-$S90*(1-N($AG90))^INT($AK90/12)*(1-N($AG90)*MOD($AK90,12)/12)),IF($W90="DDB",IF(N($V90)&lt;=0,0,MIN(($S90-N($U90)),$S90-$S90*(1-MIN(1,24/$V90))^INT($AK90/12)*(1-MIN(1,24/$V90)*MOD($AK90,12)/12))),IF($W90="SYD",IF(N($V90)&lt;=0,0,($S90-N($U90))*(INT(MIN($AK90,$V90)/12)*(2*($V90/12)-INT(MIN($AK90,$V90)/12)+1)/2+MOD(MIN($AK90,$V90),12)/12*(($V90/12)-INT(MIN($AK90,$V90)/12)))/(($V90/12)*(($V90/12)+1)/2)),0))))),2))</f>
        <v/>
      </c>
      <c r="AM90" s="23">
        <f>IF($X90="","",$X90-$AL90)</f>
        <v/>
      </c>
      <c r="AN90" s="23">
        <f>IF(OR($AH90="",$Y90=""),"",N($AI90)-$Y90)</f>
        <v/>
      </c>
    </row>
    <row r="91">
      <c r="Q91" s="20" t="n"/>
      <c r="R91" s="20" t="n"/>
      <c r="S91" s="21" t="n"/>
      <c r="U91" s="21" t="n"/>
      <c r="V91" s="22" t="n"/>
      <c r="X91" s="23">
        <f>IF(OR($S91="",$R91=""),"",ROUND(MAX(0,IF($W91="Straight-line",IF(N($V91)&lt;=0,0,($S91-N($U91))*MIN($AJ91,$V91)/$V91),IF($W91="Reducing balance",MIN(($S91-N($U91)),$S91-$S91*(1-N($AG91))^INT($AJ91/12)*(1-N($AG91)*MOD($AJ91,12)/12)),IF($W91="DDB",IF(N($V91)&lt;=0,0,MIN(($S91-N($U91)),$S91-$S91*(1-MIN(1,24/$V91))^INT($AJ91/12)*(1-MIN(1,24/$V91)*MOD($AJ91,12)/12))),IF($W91="SYD",IF(N($V91)&lt;=0,0,($S91-N($U91))*(INT(MIN($AJ91,$V91)/12)*(2*($V91/12)-INT(MIN($AJ91,$V91)/12)+1)/2+MOD(MIN($AJ91,$V91),12)/12*(($V91/12)-INT(MIN($AJ91,$V91)/12)))/(($V91/12)*(($V91/12)+1)/2)),0))))),2))</f>
        <v/>
      </c>
      <c r="Y91" s="23">
        <f>IF($X91="","",$S91-$X91)</f>
        <v/>
      </c>
      <c r="AD91" s="20" t="n"/>
      <c r="AG91" s="24" t="n"/>
      <c r="AH91" s="20" t="n"/>
      <c r="AI91" s="21" t="n"/>
      <c r="AJ91" s="25">
        <f>IF($R91="","",IF($R91&gt;IF($AH91&lt;&gt;"",MIN($AH91,Settings!$B$3),Settings!$B$3),0,(YEAR(IF($AH91&lt;&gt;"",MIN($AH91,Settings!$B$3),Settings!$B$3))-YEAR($R91))*12+MONTH(IF($AH91&lt;&gt;"",MIN($AH91,Settings!$B$3),Settings!$B$3))-MONTH($R91)+1))</f>
        <v/>
      </c>
      <c r="AK91" s="25">
        <f>IF($R91="","",IF($R91&gt;MIN(Settings!$B$4-1,IF($AH91&lt;&gt;"",MIN($AH91,Settings!$B$3),Settings!$B$3)),0,(YEAR(MIN(Settings!$B$4-1,IF($AH91&lt;&gt;"",MIN($AH91,Settings!$B$3),Settings!$B$3)))-YEAR($R91))*12+MONTH(MIN(Settings!$B$4-1,IF($AH91&lt;&gt;"",MIN($AH91,Settings!$B$3),Settings!$B$3)))-MONTH($R91)+1))</f>
        <v/>
      </c>
      <c r="AL91" s="23">
        <f>IF(OR($S91="",$R91=""),"",ROUND(MAX(0,IF($W91="Straight-line",IF(N($V91)&lt;=0,0,($S91-N($U91))*MIN($AK91,$V91)/$V91),IF($W91="Reducing balance",MIN(($S91-N($U91)),$S91-$S91*(1-N($AG91))^INT($AK91/12)*(1-N($AG91)*MOD($AK91,12)/12)),IF($W91="DDB",IF(N($V91)&lt;=0,0,MIN(($S91-N($U91)),$S91-$S91*(1-MIN(1,24/$V91))^INT($AK91/12)*(1-MIN(1,24/$V91)*MOD($AK91,12)/12))),IF($W91="SYD",IF(N($V91)&lt;=0,0,($S91-N($U91))*(INT(MIN($AK91,$V91)/12)*(2*($V91/12)-INT(MIN($AK91,$V91)/12)+1)/2+MOD(MIN($AK91,$V91),12)/12*(($V91/12)-INT(MIN($AK91,$V91)/12)))/(($V91/12)*(($V91/12)+1)/2)),0))))),2))</f>
        <v/>
      </c>
      <c r="AM91" s="23">
        <f>IF($X91="","",$X91-$AL91)</f>
        <v/>
      </c>
      <c r="AN91" s="23">
        <f>IF(OR($AH91="",$Y91=""),"",N($AI91)-$Y91)</f>
        <v/>
      </c>
    </row>
    <row r="92">
      <c r="Q92" s="20" t="n"/>
      <c r="R92" s="20" t="n"/>
      <c r="S92" s="21" t="n"/>
      <c r="U92" s="21" t="n"/>
      <c r="V92" s="22" t="n"/>
      <c r="X92" s="23">
        <f>IF(OR($S92="",$R92=""),"",ROUND(MAX(0,IF($W92="Straight-line",IF(N($V92)&lt;=0,0,($S92-N($U92))*MIN($AJ92,$V92)/$V92),IF($W92="Reducing balance",MIN(($S92-N($U92)),$S92-$S92*(1-N($AG92))^INT($AJ92/12)*(1-N($AG92)*MOD($AJ92,12)/12)),IF($W92="DDB",IF(N($V92)&lt;=0,0,MIN(($S92-N($U92)),$S92-$S92*(1-MIN(1,24/$V92))^INT($AJ92/12)*(1-MIN(1,24/$V92)*MOD($AJ92,12)/12))),IF($W92="SYD",IF(N($V92)&lt;=0,0,($S92-N($U92))*(INT(MIN($AJ92,$V92)/12)*(2*($V92/12)-INT(MIN($AJ92,$V92)/12)+1)/2+MOD(MIN($AJ92,$V92),12)/12*(($V92/12)-INT(MIN($AJ92,$V92)/12)))/(($V92/12)*(($V92/12)+1)/2)),0))))),2))</f>
        <v/>
      </c>
      <c r="Y92" s="23">
        <f>IF($X92="","",$S92-$X92)</f>
        <v/>
      </c>
      <c r="AD92" s="20" t="n"/>
      <c r="AG92" s="24" t="n"/>
      <c r="AH92" s="20" t="n"/>
      <c r="AI92" s="21" t="n"/>
      <c r="AJ92" s="25">
        <f>IF($R92="","",IF($R92&gt;IF($AH92&lt;&gt;"",MIN($AH92,Settings!$B$3),Settings!$B$3),0,(YEAR(IF($AH92&lt;&gt;"",MIN($AH92,Settings!$B$3),Settings!$B$3))-YEAR($R92))*12+MONTH(IF($AH92&lt;&gt;"",MIN($AH92,Settings!$B$3),Settings!$B$3))-MONTH($R92)+1))</f>
        <v/>
      </c>
      <c r="AK92" s="25">
        <f>IF($R92="","",IF($R92&gt;MIN(Settings!$B$4-1,IF($AH92&lt;&gt;"",MIN($AH92,Settings!$B$3),Settings!$B$3)),0,(YEAR(MIN(Settings!$B$4-1,IF($AH92&lt;&gt;"",MIN($AH92,Settings!$B$3),Settings!$B$3)))-YEAR($R92))*12+MONTH(MIN(Settings!$B$4-1,IF($AH92&lt;&gt;"",MIN($AH92,Settings!$B$3),Settings!$B$3)))-MONTH($R92)+1))</f>
        <v/>
      </c>
      <c r="AL92" s="23">
        <f>IF(OR($S92="",$R92=""),"",ROUND(MAX(0,IF($W92="Straight-line",IF(N($V92)&lt;=0,0,($S92-N($U92))*MIN($AK92,$V92)/$V92),IF($W92="Reducing balance",MIN(($S92-N($U92)),$S92-$S92*(1-N($AG92))^INT($AK92/12)*(1-N($AG92)*MOD($AK92,12)/12)),IF($W92="DDB",IF(N($V92)&lt;=0,0,MIN(($S92-N($U92)),$S92-$S92*(1-MIN(1,24/$V92))^INT($AK92/12)*(1-MIN(1,24/$V92)*MOD($AK92,12)/12))),IF($W92="SYD",IF(N($V92)&lt;=0,0,($S92-N($U92))*(INT(MIN($AK92,$V92)/12)*(2*($V92/12)-INT(MIN($AK92,$V92)/12)+1)/2+MOD(MIN($AK92,$V92),12)/12*(($V92/12)-INT(MIN($AK92,$V92)/12)))/(($V92/12)*(($V92/12)+1)/2)),0))))),2))</f>
        <v/>
      </c>
      <c r="AM92" s="23">
        <f>IF($X92="","",$X92-$AL92)</f>
        <v/>
      </c>
      <c r="AN92" s="23">
        <f>IF(OR($AH92="",$Y92=""),"",N($AI92)-$Y92)</f>
        <v/>
      </c>
    </row>
    <row r="93">
      <c r="Q93" s="20" t="n"/>
      <c r="R93" s="20" t="n"/>
      <c r="S93" s="21" t="n"/>
      <c r="U93" s="21" t="n"/>
      <c r="V93" s="22" t="n"/>
      <c r="X93" s="23">
        <f>IF(OR($S93="",$R93=""),"",ROUND(MAX(0,IF($W93="Straight-line",IF(N($V93)&lt;=0,0,($S93-N($U93))*MIN($AJ93,$V93)/$V93),IF($W93="Reducing balance",MIN(($S93-N($U93)),$S93-$S93*(1-N($AG93))^INT($AJ93/12)*(1-N($AG93)*MOD($AJ93,12)/12)),IF($W93="DDB",IF(N($V93)&lt;=0,0,MIN(($S93-N($U93)),$S93-$S93*(1-MIN(1,24/$V93))^INT($AJ93/12)*(1-MIN(1,24/$V93)*MOD($AJ93,12)/12))),IF($W93="SYD",IF(N($V93)&lt;=0,0,($S93-N($U93))*(INT(MIN($AJ93,$V93)/12)*(2*($V93/12)-INT(MIN($AJ93,$V93)/12)+1)/2+MOD(MIN($AJ93,$V93),12)/12*(($V93/12)-INT(MIN($AJ93,$V93)/12)))/(($V93/12)*(($V93/12)+1)/2)),0))))),2))</f>
        <v/>
      </c>
      <c r="Y93" s="23">
        <f>IF($X93="","",$S93-$X93)</f>
        <v/>
      </c>
      <c r="AD93" s="20" t="n"/>
      <c r="AG93" s="24" t="n"/>
      <c r="AH93" s="20" t="n"/>
      <c r="AI93" s="21" t="n"/>
      <c r="AJ93" s="25">
        <f>IF($R93="","",IF($R93&gt;IF($AH93&lt;&gt;"",MIN($AH93,Settings!$B$3),Settings!$B$3),0,(YEAR(IF($AH93&lt;&gt;"",MIN($AH93,Settings!$B$3),Settings!$B$3))-YEAR($R93))*12+MONTH(IF($AH93&lt;&gt;"",MIN($AH93,Settings!$B$3),Settings!$B$3))-MONTH($R93)+1))</f>
        <v/>
      </c>
      <c r="AK93" s="25">
        <f>IF($R93="","",IF($R93&gt;MIN(Settings!$B$4-1,IF($AH93&lt;&gt;"",MIN($AH93,Settings!$B$3),Settings!$B$3)),0,(YEAR(MIN(Settings!$B$4-1,IF($AH93&lt;&gt;"",MIN($AH93,Settings!$B$3),Settings!$B$3)))-YEAR($R93))*12+MONTH(MIN(Settings!$B$4-1,IF($AH93&lt;&gt;"",MIN($AH93,Settings!$B$3),Settings!$B$3)))-MONTH($R93)+1))</f>
        <v/>
      </c>
      <c r="AL93" s="23">
        <f>IF(OR($S93="",$R93=""),"",ROUND(MAX(0,IF($W93="Straight-line",IF(N($V93)&lt;=0,0,($S93-N($U93))*MIN($AK93,$V93)/$V93),IF($W93="Reducing balance",MIN(($S93-N($U93)),$S93-$S93*(1-N($AG93))^INT($AK93/12)*(1-N($AG93)*MOD($AK93,12)/12)),IF($W93="DDB",IF(N($V93)&lt;=0,0,MIN(($S93-N($U93)),$S93-$S93*(1-MIN(1,24/$V93))^INT($AK93/12)*(1-MIN(1,24/$V93)*MOD($AK93,12)/12))),IF($W93="SYD",IF(N($V93)&lt;=0,0,($S93-N($U93))*(INT(MIN($AK93,$V93)/12)*(2*($V93/12)-INT(MIN($AK93,$V93)/12)+1)/2+MOD(MIN($AK93,$V93),12)/12*(($V93/12)-INT(MIN($AK93,$V93)/12)))/(($V93/12)*(($V93/12)+1)/2)),0))))),2))</f>
        <v/>
      </c>
      <c r="AM93" s="23">
        <f>IF($X93="","",$X93-$AL93)</f>
        <v/>
      </c>
      <c r="AN93" s="23">
        <f>IF(OR($AH93="",$Y93=""),"",N($AI93)-$Y93)</f>
        <v/>
      </c>
    </row>
    <row r="94">
      <c r="Q94" s="20" t="n"/>
      <c r="R94" s="20" t="n"/>
      <c r="S94" s="21" t="n"/>
      <c r="U94" s="21" t="n"/>
      <c r="V94" s="22" t="n"/>
      <c r="X94" s="23">
        <f>IF(OR($S94="",$R94=""),"",ROUND(MAX(0,IF($W94="Straight-line",IF(N($V94)&lt;=0,0,($S94-N($U94))*MIN($AJ94,$V94)/$V94),IF($W94="Reducing balance",MIN(($S94-N($U94)),$S94-$S94*(1-N($AG94))^INT($AJ94/12)*(1-N($AG94)*MOD($AJ94,12)/12)),IF($W94="DDB",IF(N($V94)&lt;=0,0,MIN(($S94-N($U94)),$S94-$S94*(1-MIN(1,24/$V94))^INT($AJ94/12)*(1-MIN(1,24/$V94)*MOD($AJ94,12)/12))),IF($W94="SYD",IF(N($V94)&lt;=0,0,($S94-N($U94))*(INT(MIN($AJ94,$V94)/12)*(2*($V94/12)-INT(MIN($AJ94,$V94)/12)+1)/2+MOD(MIN($AJ94,$V94),12)/12*(($V94/12)-INT(MIN($AJ94,$V94)/12)))/(($V94/12)*(($V94/12)+1)/2)),0))))),2))</f>
        <v/>
      </c>
      <c r="Y94" s="23">
        <f>IF($X94="","",$S94-$X94)</f>
        <v/>
      </c>
      <c r="AD94" s="20" t="n"/>
      <c r="AG94" s="24" t="n"/>
      <c r="AH94" s="20" t="n"/>
      <c r="AI94" s="21" t="n"/>
      <c r="AJ94" s="25">
        <f>IF($R94="","",IF($R94&gt;IF($AH94&lt;&gt;"",MIN($AH94,Settings!$B$3),Settings!$B$3),0,(YEAR(IF($AH94&lt;&gt;"",MIN($AH94,Settings!$B$3),Settings!$B$3))-YEAR($R94))*12+MONTH(IF($AH94&lt;&gt;"",MIN($AH94,Settings!$B$3),Settings!$B$3))-MONTH($R94)+1))</f>
        <v/>
      </c>
      <c r="AK94" s="25">
        <f>IF($R94="","",IF($R94&gt;MIN(Settings!$B$4-1,IF($AH94&lt;&gt;"",MIN($AH94,Settings!$B$3),Settings!$B$3)),0,(YEAR(MIN(Settings!$B$4-1,IF($AH94&lt;&gt;"",MIN($AH94,Settings!$B$3),Settings!$B$3)))-YEAR($R94))*12+MONTH(MIN(Settings!$B$4-1,IF($AH94&lt;&gt;"",MIN($AH94,Settings!$B$3),Settings!$B$3)))-MONTH($R94)+1))</f>
        <v/>
      </c>
      <c r="AL94" s="23">
        <f>IF(OR($S94="",$R94=""),"",ROUND(MAX(0,IF($W94="Straight-line",IF(N($V94)&lt;=0,0,($S94-N($U94))*MIN($AK94,$V94)/$V94),IF($W94="Reducing balance",MIN(($S94-N($U94)),$S94-$S94*(1-N($AG94))^INT($AK94/12)*(1-N($AG94)*MOD($AK94,12)/12)),IF($W94="DDB",IF(N($V94)&lt;=0,0,MIN(($S94-N($U94)),$S94-$S94*(1-MIN(1,24/$V94))^INT($AK94/12)*(1-MIN(1,24/$V94)*MOD($AK94,12)/12))),IF($W94="SYD",IF(N($V94)&lt;=0,0,($S94-N($U94))*(INT(MIN($AK94,$V94)/12)*(2*($V94/12)-INT(MIN($AK94,$V94)/12)+1)/2+MOD(MIN($AK94,$V94),12)/12*(($V94/12)-INT(MIN($AK94,$V94)/12)))/(($V94/12)*(($V94/12)+1)/2)),0))))),2))</f>
        <v/>
      </c>
      <c r="AM94" s="23">
        <f>IF($X94="","",$X94-$AL94)</f>
        <v/>
      </c>
      <c r="AN94" s="23">
        <f>IF(OR($AH94="",$Y94=""),"",N($AI94)-$Y94)</f>
        <v/>
      </c>
    </row>
    <row r="95">
      <c r="Q95" s="20" t="n"/>
      <c r="R95" s="20" t="n"/>
      <c r="S95" s="21" t="n"/>
      <c r="U95" s="21" t="n"/>
      <c r="V95" s="22" t="n"/>
      <c r="X95" s="23">
        <f>IF(OR($S95="",$R95=""),"",ROUND(MAX(0,IF($W95="Straight-line",IF(N($V95)&lt;=0,0,($S95-N($U95))*MIN($AJ95,$V95)/$V95),IF($W95="Reducing balance",MIN(($S95-N($U95)),$S95-$S95*(1-N($AG95))^INT($AJ95/12)*(1-N($AG95)*MOD($AJ95,12)/12)),IF($W95="DDB",IF(N($V95)&lt;=0,0,MIN(($S95-N($U95)),$S95-$S95*(1-MIN(1,24/$V95))^INT($AJ95/12)*(1-MIN(1,24/$V95)*MOD($AJ95,12)/12))),IF($W95="SYD",IF(N($V95)&lt;=0,0,($S95-N($U95))*(INT(MIN($AJ95,$V95)/12)*(2*($V95/12)-INT(MIN($AJ95,$V95)/12)+1)/2+MOD(MIN($AJ95,$V95),12)/12*(($V95/12)-INT(MIN($AJ95,$V95)/12)))/(($V95/12)*(($V95/12)+1)/2)),0))))),2))</f>
        <v/>
      </c>
      <c r="Y95" s="23">
        <f>IF($X95="","",$S95-$X95)</f>
        <v/>
      </c>
      <c r="AD95" s="20" t="n"/>
      <c r="AG95" s="24" t="n"/>
      <c r="AH95" s="20" t="n"/>
      <c r="AI95" s="21" t="n"/>
      <c r="AJ95" s="25">
        <f>IF($R95="","",IF($R95&gt;IF($AH95&lt;&gt;"",MIN($AH95,Settings!$B$3),Settings!$B$3),0,(YEAR(IF($AH95&lt;&gt;"",MIN($AH95,Settings!$B$3),Settings!$B$3))-YEAR($R95))*12+MONTH(IF($AH95&lt;&gt;"",MIN($AH95,Settings!$B$3),Settings!$B$3))-MONTH($R95)+1))</f>
        <v/>
      </c>
      <c r="AK95" s="25">
        <f>IF($R95="","",IF($R95&gt;MIN(Settings!$B$4-1,IF($AH95&lt;&gt;"",MIN($AH95,Settings!$B$3),Settings!$B$3)),0,(YEAR(MIN(Settings!$B$4-1,IF($AH95&lt;&gt;"",MIN($AH95,Settings!$B$3),Settings!$B$3)))-YEAR($R95))*12+MONTH(MIN(Settings!$B$4-1,IF($AH95&lt;&gt;"",MIN($AH95,Settings!$B$3),Settings!$B$3)))-MONTH($R95)+1))</f>
        <v/>
      </c>
      <c r="AL95" s="23">
        <f>IF(OR($S95="",$R95=""),"",ROUND(MAX(0,IF($W95="Straight-line",IF(N($V95)&lt;=0,0,($S95-N($U95))*MIN($AK95,$V95)/$V95),IF($W95="Reducing balance",MIN(($S95-N($U95)),$S95-$S95*(1-N($AG95))^INT($AK95/12)*(1-N($AG95)*MOD($AK95,12)/12)),IF($W95="DDB",IF(N($V95)&lt;=0,0,MIN(($S95-N($U95)),$S95-$S95*(1-MIN(1,24/$V95))^INT($AK95/12)*(1-MIN(1,24/$V95)*MOD($AK95,12)/12))),IF($W95="SYD",IF(N($V95)&lt;=0,0,($S95-N($U95))*(INT(MIN($AK95,$V95)/12)*(2*($V95/12)-INT(MIN($AK95,$V95)/12)+1)/2+MOD(MIN($AK95,$V95),12)/12*(($V95/12)-INT(MIN($AK95,$V95)/12)))/(($V95/12)*(($V95/12)+1)/2)),0))))),2))</f>
        <v/>
      </c>
      <c r="AM95" s="23">
        <f>IF($X95="","",$X95-$AL95)</f>
        <v/>
      </c>
      <c r="AN95" s="23">
        <f>IF(OR($AH95="",$Y95=""),"",N($AI95)-$Y95)</f>
        <v/>
      </c>
    </row>
    <row r="96">
      <c r="Q96" s="20" t="n"/>
      <c r="R96" s="20" t="n"/>
      <c r="S96" s="21" t="n"/>
      <c r="U96" s="21" t="n"/>
      <c r="V96" s="22" t="n"/>
      <c r="X96" s="23">
        <f>IF(OR($S96="",$R96=""),"",ROUND(MAX(0,IF($W96="Straight-line",IF(N($V96)&lt;=0,0,($S96-N($U96))*MIN($AJ96,$V96)/$V96),IF($W96="Reducing balance",MIN(($S96-N($U96)),$S96-$S96*(1-N($AG96))^INT($AJ96/12)*(1-N($AG96)*MOD($AJ96,12)/12)),IF($W96="DDB",IF(N($V96)&lt;=0,0,MIN(($S96-N($U96)),$S96-$S96*(1-MIN(1,24/$V96))^INT($AJ96/12)*(1-MIN(1,24/$V96)*MOD($AJ96,12)/12))),IF($W96="SYD",IF(N($V96)&lt;=0,0,($S96-N($U96))*(INT(MIN($AJ96,$V96)/12)*(2*($V96/12)-INT(MIN($AJ96,$V96)/12)+1)/2+MOD(MIN($AJ96,$V96),12)/12*(($V96/12)-INT(MIN($AJ96,$V96)/12)))/(($V96/12)*(($V96/12)+1)/2)),0))))),2))</f>
        <v/>
      </c>
      <c r="Y96" s="23">
        <f>IF($X96="","",$S96-$X96)</f>
        <v/>
      </c>
      <c r="AD96" s="20" t="n"/>
      <c r="AG96" s="24" t="n"/>
      <c r="AH96" s="20" t="n"/>
      <c r="AI96" s="21" t="n"/>
      <c r="AJ96" s="25">
        <f>IF($R96="","",IF($R96&gt;IF($AH96&lt;&gt;"",MIN($AH96,Settings!$B$3),Settings!$B$3),0,(YEAR(IF($AH96&lt;&gt;"",MIN($AH96,Settings!$B$3),Settings!$B$3))-YEAR($R96))*12+MONTH(IF($AH96&lt;&gt;"",MIN($AH96,Settings!$B$3),Settings!$B$3))-MONTH($R96)+1))</f>
        <v/>
      </c>
      <c r="AK96" s="25">
        <f>IF($R96="","",IF($R96&gt;MIN(Settings!$B$4-1,IF($AH96&lt;&gt;"",MIN($AH96,Settings!$B$3),Settings!$B$3)),0,(YEAR(MIN(Settings!$B$4-1,IF($AH96&lt;&gt;"",MIN($AH96,Settings!$B$3),Settings!$B$3)))-YEAR($R96))*12+MONTH(MIN(Settings!$B$4-1,IF($AH96&lt;&gt;"",MIN($AH96,Settings!$B$3),Settings!$B$3)))-MONTH($R96)+1))</f>
        <v/>
      </c>
      <c r="AL96" s="23">
        <f>IF(OR($S96="",$R96=""),"",ROUND(MAX(0,IF($W96="Straight-line",IF(N($V96)&lt;=0,0,($S96-N($U96))*MIN($AK96,$V96)/$V96),IF($W96="Reducing balance",MIN(($S96-N($U96)),$S96-$S96*(1-N($AG96))^INT($AK96/12)*(1-N($AG96)*MOD($AK96,12)/12)),IF($W96="DDB",IF(N($V96)&lt;=0,0,MIN(($S96-N($U96)),$S96-$S96*(1-MIN(1,24/$V96))^INT($AK96/12)*(1-MIN(1,24/$V96)*MOD($AK96,12)/12))),IF($W96="SYD",IF(N($V96)&lt;=0,0,($S96-N($U96))*(INT(MIN($AK96,$V96)/12)*(2*($V96/12)-INT(MIN($AK96,$V96)/12)+1)/2+MOD(MIN($AK96,$V96),12)/12*(($V96/12)-INT(MIN($AK96,$V96)/12)))/(($V96/12)*(($V96/12)+1)/2)),0))))),2))</f>
        <v/>
      </c>
      <c r="AM96" s="23">
        <f>IF($X96="","",$X96-$AL96)</f>
        <v/>
      </c>
      <c r="AN96" s="23">
        <f>IF(OR($AH96="",$Y96=""),"",N($AI96)-$Y96)</f>
        <v/>
      </c>
    </row>
    <row r="97">
      <c r="Q97" s="20" t="n"/>
      <c r="R97" s="20" t="n"/>
      <c r="S97" s="21" t="n"/>
      <c r="U97" s="21" t="n"/>
      <c r="V97" s="22" t="n"/>
      <c r="X97" s="23">
        <f>IF(OR($S97="",$R97=""),"",ROUND(MAX(0,IF($W97="Straight-line",IF(N($V97)&lt;=0,0,($S97-N($U97))*MIN($AJ97,$V97)/$V97),IF($W97="Reducing balance",MIN(($S97-N($U97)),$S97-$S97*(1-N($AG97))^INT($AJ97/12)*(1-N($AG97)*MOD($AJ97,12)/12)),IF($W97="DDB",IF(N($V97)&lt;=0,0,MIN(($S97-N($U97)),$S97-$S97*(1-MIN(1,24/$V97))^INT($AJ97/12)*(1-MIN(1,24/$V97)*MOD($AJ97,12)/12))),IF($W97="SYD",IF(N($V97)&lt;=0,0,($S97-N($U97))*(INT(MIN($AJ97,$V97)/12)*(2*($V97/12)-INT(MIN($AJ97,$V97)/12)+1)/2+MOD(MIN($AJ97,$V97),12)/12*(($V97/12)-INT(MIN($AJ97,$V97)/12)))/(($V97/12)*(($V97/12)+1)/2)),0))))),2))</f>
        <v/>
      </c>
      <c r="Y97" s="23">
        <f>IF($X97="","",$S97-$X97)</f>
        <v/>
      </c>
      <c r="AD97" s="20" t="n"/>
      <c r="AG97" s="24" t="n"/>
      <c r="AH97" s="20" t="n"/>
      <c r="AI97" s="21" t="n"/>
      <c r="AJ97" s="25">
        <f>IF($R97="","",IF($R97&gt;IF($AH97&lt;&gt;"",MIN($AH97,Settings!$B$3),Settings!$B$3),0,(YEAR(IF($AH97&lt;&gt;"",MIN($AH97,Settings!$B$3),Settings!$B$3))-YEAR($R97))*12+MONTH(IF($AH97&lt;&gt;"",MIN($AH97,Settings!$B$3),Settings!$B$3))-MONTH($R97)+1))</f>
        <v/>
      </c>
      <c r="AK97" s="25">
        <f>IF($R97="","",IF($R97&gt;MIN(Settings!$B$4-1,IF($AH97&lt;&gt;"",MIN($AH97,Settings!$B$3),Settings!$B$3)),0,(YEAR(MIN(Settings!$B$4-1,IF($AH97&lt;&gt;"",MIN($AH97,Settings!$B$3),Settings!$B$3)))-YEAR($R97))*12+MONTH(MIN(Settings!$B$4-1,IF($AH97&lt;&gt;"",MIN($AH97,Settings!$B$3),Settings!$B$3)))-MONTH($R97)+1))</f>
        <v/>
      </c>
      <c r="AL97" s="23">
        <f>IF(OR($S97="",$R97=""),"",ROUND(MAX(0,IF($W97="Straight-line",IF(N($V97)&lt;=0,0,($S97-N($U97))*MIN($AK97,$V97)/$V97),IF($W97="Reducing balance",MIN(($S97-N($U97)),$S97-$S97*(1-N($AG97))^INT($AK97/12)*(1-N($AG97)*MOD($AK97,12)/12)),IF($W97="DDB",IF(N($V97)&lt;=0,0,MIN(($S97-N($U97)),$S97-$S97*(1-MIN(1,24/$V97))^INT($AK97/12)*(1-MIN(1,24/$V97)*MOD($AK97,12)/12))),IF($W97="SYD",IF(N($V97)&lt;=0,0,($S97-N($U97))*(INT(MIN($AK97,$V97)/12)*(2*($V97/12)-INT(MIN($AK97,$V97)/12)+1)/2+MOD(MIN($AK97,$V97),12)/12*(($V97/12)-INT(MIN($AK97,$V97)/12)))/(($V97/12)*(($V97/12)+1)/2)),0))))),2))</f>
        <v/>
      </c>
      <c r="AM97" s="23">
        <f>IF($X97="","",$X97-$AL97)</f>
        <v/>
      </c>
      <c r="AN97" s="23">
        <f>IF(OR($AH97="",$Y97=""),"",N($AI97)-$Y97)</f>
        <v/>
      </c>
    </row>
    <row r="98">
      <c r="Q98" s="20" t="n"/>
      <c r="R98" s="20" t="n"/>
      <c r="S98" s="21" t="n"/>
      <c r="U98" s="21" t="n"/>
      <c r="V98" s="22" t="n"/>
      <c r="X98" s="23">
        <f>IF(OR($S98="",$R98=""),"",ROUND(MAX(0,IF($W98="Straight-line",IF(N($V98)&lt;=0,0,($S98-N($U98))*MIN($AJ98,$V98)/$V98),IF($W98="Reducing balance",MIN(($S98-N($U98)),$S98-$S98*(1-N($AG98))^INT($AJ98/12)*(1-N($AG98)*MOD($AJ98,12)/12)),IF($W98="DDB",IF(N($V98)&lt;=0,0,MIN(($S98-N($U98)),$S98-$S98*(1-MIN(1,24/$V98))^INT($AJ98/12)*(1-MIN(1,24/$V98)*MOD($AJ98,12)/12))),IF($W98="SYD",IF(N($V98)&lt;=0,0,($S98-N($U98))*(INT(MIN($AJ98,$V98)/12)*(2*($V98/12)-INT(MIN($AJ98,$V98)/12)+1)/2+MOD(MIN($AJ98,$V98),12)/12*(($V98/12)-INT(MIN($AJ98,$V98)/12)))/(($V98/12)*(($V98/12)+1)/2)),0))))),2))</f>
        <v/>
      </c>
      <c r="Y98" s="23">
        <f>IF($X98="","",$S98-$X98)</f>
        <v/>
      </c>
      <c r="AD98" s="20" t="n"/>
      <c r="AG98" s="24" t="n"/>
      <c r="AH98" s="20" t="n"/>
      <c r="AI98" s="21" t="n"/>
      <c r="AJ98" s="25">
        <f>IF($R98="","",IF($R98&gt;IF($AH98&lt;&gt;"",MIN($AH98,Settings!$B$3),Settings!$B$3),0,(YEAR(IF($AH98&lt;&gt;"",MIN($AH98,Settings!$B$3),Settings!$B$3))-YEAR($R98))*12+MONTH(IF($AH98&lt;&gt;"",MIN($AH98,Settings!$B$3),Settings!$B$3))-MONTH($R98)+1))</f>
        <v/>
      </c>
      <c r="AK98" s="25">
        <f>IF($R98="","",IF($R98&gt;MIN(Settings!$B$4-1,IF($AH98&lt;&gt;"",MIN($AH98,Settings!$B$3),Settings!$B$3)),0,(YEAR(MIN(Settings!$B$4-1,IF($AH98&lt;&gt;"",MIN($AH98,Settings!$B$3),Settings!$B$3)))-YEAR($R98))*12+MONTH(MIN(Settings!$B$4-1,IF($AH98&lt;&gt;"",MIN($AH98,Settings!$B$3),Settings!$B$3)))-MONTH($R98)+1))</f>
        <v/>
      </c>
      <c r="AL98" s="23">
        <f>IF(OR($S98="",$R98=""),"",ROUND(MAX(0,IF($W98="Straight-line",IF(N($V98)&lt;=0,0,($S98-N($U98))*MIN($AK98,$V98)/$V98),IF($W98="Reducing balance",MIN(($S98-N($U98)),$S98-$S98*(1-N($AG98))^INT($AK98/12)*(1-N($AG98)*MOD($AK98,12)/12)),IF($W98="DDB",IF(N($V98)&lt;=0,0,MIN(($S98-N($U98)),$S98-$S98*(1-MIN(1,24/$V98))^INT($AK98/12)*(1-MIN(1,24/$V98)*MOD($AK98,12)/12))),IF($W98="SYD",IF(N($V98)&lt;=0,0,($S98-N($U98))*(INT(MIN($AK98,$V98)/12)*(2*($V98/12)-INT(MIN($AK98,$V98)/12)+1)/2+MOD(MIN($AK98,$V98),12)/12*(($V98/12)-INT(MIN($AK98,$V98)/12)))/(($V98/12)*(($V98/12)+1)/2)),0))))),2))</f>
        <v/>
      </c>
      <c r="AM98" s="23">
        <f>IF($X98="","",$X98-$AL98)</f>
        <v/>
      </c>
      <c r="AN98" s="23">
        <f>IF(OR($AH98="",$Y98=""),"",N($AI98)-$Y98)</f>
        <v/>
      </c>
    </row>
    <row r="99">
      <c r="Q99" s="20" t="n"/>
      <c r="R99" s="20" t="n"/>
      <c r="S99" s="21" t="n"/>
      <c r="U99" s="21" t="n"/>
      <c r="V99" s="22" t="n"/>
      <c r="X99" s="23">
        <f>IF(OR($S99="",$R99=""),"",ROUND(MAX(0,IF($W99="Straight-line",IF(N($V99)&lt;=0,0,($S99-N($U99))*MIN($AJ99,$V99)/$V99),IF($W99="Reducing balance",MIN(($S99-N($U99)),$S99-$S99*(1-N($AG99))^INT($AJ99/12)*(1-N($AG99)*MOD($AJ99,12)/12)),IF($W99="DDB",IF(N($V99)&lt;=0,0,MIN(($S99-N($U99)),$S99-$S99*(1-MIN(1,24/$V99))^INT($AJ99/12)*(1-MIN(1,24/$V99)*MOD($AJ99,12)/12))),IF($W99="SYD",IF(N($V99)&lt;=0,0,($S99-N($U99))*(INT(MIN($AJ99,$V99)/12)*(2*($V99/12)-INT(MIN($AJ99,$V99)/12)+1)/2+MOD(MIN($AJ99,$V99),12)/12*(($V99/12)-INT(MIN($AJ99,$V99)/12)))/(($V99/12)*(($V99/12)+1)/2)),0))))),2))</f>
        <v/>
      </c>
      <c r="Y99" s="23">
        <f>IF($X99="","",$S99-$X99)</f>
        <v/>
      </c>
      <c r="AD99" s="20" t="n"/>
      <c r="AG99" s="24" t="n"/>
      <c r="AH99" s="20" t="n"/>
      <c r="AI99" s="21" t="n"/>
      <c r="AJ99" s="25">
        <f>IF($R99="","",IF($R99&gt;IF($AH99&lt;&gt;"",MIN($AH99,Settings!$B$3),Settings!$B$3),0,(YEAR(IF($AH99&lt;&gt;"",MIN($AH99,Settings!$B$3),Settings!$B$3))-YEAR($R99))*12+MONTH(IF($AH99&lt;&gt;"",MIN($AH99,Settings!$B$3),Settings!$B$3))-MONTH($R99)+1))</f>
        <v/>
      </c>
      <c r="AK99" s="25">
        <f>IF($R99="","",IF($R99&gt;MIN(Settings!$B$4-1,IF($AH99&lt;&gt;"",MIN($AH99,Settings!$B$3),Settings!$B$3)),0,(YEAR(MIN(Settings!$B$4-1,IF($AH99&lt;&gt;"",MIN($AH99,Settings!$B$3),Settings!$B$3)))-YEAR($R99))*12+MONTH(MIN(Settings!$B$4-1,IF($AH99&lt;&gt;"",MIN($AH99,Settings!$B$3),Settings!$B$3)))-MONTH($R99)+1))</f>
        <v/>
      </c>
      <c r="AL99" s="23">
        <f>IF(OR($S99="",$R99=""),"",ROUND(MAX(0,IF($W99="Straight-line",IF(N($V99)&lt;=0,0,($S99-N($U99))*MIN($AK99,$V99)/$V99),IF($W99="Reducing balance",MIN(($S99-N($U99)),$S99-$S99*(1-N($AG99))^INT($AK99/12)*(1-N($AG99)*MOD($AK99,12)/12)),IF($W99="DDB",IF(N($V99)&lt;=0,0,MIN(($S99-N($U99)),$S99-$S99*(1-MIN(1,24/$V99))^INT($AK99/12)*(1-MIN(1,24/$V99)*MOD($AK99,12)/12))),IF($W99="SYD",IF(N($V99)&lt;=0,0,($S99-N($U99))*(INT(MIN($AK99,$V99)/12)*(2*($V99/12)-INT(MIN($AK99,$V99)/12)+1)/2+MOD(MIN($AK99,$V99),12)/12*(($V99/12)-INT(MIN($AK99,$V99)/12)))/(($V99/12)*(($V99/12)+1)/2)),0))))),2))</f>
        <v/>
      </c>
      <c r="AM99" s="23">
        <f>IF($X99="","",$X99-$AL99)</f>
        <v/>
      </c>
      <c r="AN99" s="23">
        <f>IF(OR($AH99="",$Y99=""),"",N($AI99)-$Y99)</f>
        <v/>
      </c>
    </row>
    <row r="100">
      <c r="Q100" s="20" t="n"/>
      <c r="R100" s="20" t="n"/>
      <c r="S100" s="21" t="n"/>
      <c r="U100" s="21" t="n"/>
      <c r="V100" s="22" t="n"/>
      <c r="X100" s="23">
        <f>IF(OR($S100="",$R100=""),"",ROUND(MAX(0,IF($W100="Straight-line",IF(N($V100)&lt;=0,0,($S100-N($U100))*MIN($AJ100,$V100)/$V100),IF($W100="Reducing balance",MIN(($S100-N($U100)),$S100-$S100*(1-N($AG100))^INT($AJ100/12)*(1-N($AG100)*MOD($AJ100,12)/12)),IF($W100="DDB",IF(N($V100)&lt;=0,0,MIN(($S100-N($U100)),$S100-$S100*(1-MIN(1,24/$V100))^INT($AJ100/12)*(1-MIN(1,24/$V100)*MOD($AJ100,12)/12))),IF($W100="SYD",IF(N($V100)&lt;=0,0,($S100-N($U100))*(INT(MIN($AJ100,$V100)/12)*(2*($V100/12)-INT(MIN($AJ100,$V100)/12)+1)/2+MOD(MIN($AJ100,$V100),12)/12*(($V100/12)-INT(MIN($AJ100,$V100)/12)))/(($V100/12)*(($V100/12)+1)/2)),0))))),2))</f>
        <v/>
      </c>
      <c r="Y100" s="23">
        <f>IF($X100="","",$S100-$X100)</f>
        <v/>
      </c>
      <c r="AD100" s="20" t="n"/>
      <c r="AG100" s="24" t="n"/>
      <c r="AH100" s="20" t="n"/>
      <c r="AI100" s="21" t="n"/>
      <c r="AJ100" s="25">
        <f>IF($R100="","",IF($R100&gt;IF($AH100&lt;&gt;"",MIN($AH100,Settings!$B$3),Settings!$B$3),0,(YEAR(IF($AH100&lt;&gt;"",MIN($AH100,Settings!$B$3),Settings!$B$3))-YEAR($R100))*12+MONTH(IF($AH100&lt;&gt;"",MIN($AH100,Settings!$B$3),Settings!$B$3))-MONTH($R100)+1))</f>
        <v/>
      </c>
      <c r="AK100" s="25">
        <f>IF($R100="","",IF($R100&gt;MIN(Settings!$B$4-1,IF($AH100&lt;&gt;"",MIN($AH100,Settings!$B$3),Settings!$B$3)),0,(YEAR(MIN(Settings!$B$4-1,IF($AH100&lt;&gt;"",MIN($AH100,Settings!$B$3),Settings!$B$3)))-YEAR($R100))*12+MONTH(MIN(Settings!$B$4-1,IF($AH100&lt;&gt;"",MIN($AH100,Settings!$B$3),Settings!$B$3)))-MONTH($R100)+1))</f>
        <v/>
      </c>
      <c r="AL100" s="23">
        <f>IF(OR($S100="",$R100=""),"",ROUND(MAX(0,IF($W100="Straight-line",IF(N($V100)&lt;=0,0,($S100-N($U100))*MIN($AK100,$V100)/$V100),IF($W100="Reducing balance",MIN(($S100-N($U100)),$S100-$S100*(1-N($AG100))^INT($AK100/12)*(1-N($AG100)*MOD($AK100,12)/12)),IF($W100="DDB",IF(N($V100)&lt;=0,0,MIN(($S100-N($U100)),$S100-$S100*(1-MIN(1,24/$V100))^INT($AK100/12)*(1-MIN(1,24/$V100)*MOD($AK100,12)/12))),IF($W100="SYD",IF(N($V100)&lt;=0,0,($S100-N($U100))*(INT(MIN($AK100,$V100)/12)*(2*($V100/12)-INT(MIN($AK100,$V100)/12)+1)/2+MOD(MIN($AK100,$V100),12)/12*(($V100/12)-INT(MIN($AK100,$V100)/12)))/(($V100/12)*(($V100/12)+1)/2)),0))))),2))</f>
        <v/>
      </c>
      <c r="AM100" s="23">
        <f>IF($X100="","",$X100-$AL100)</f>
        <v/>
      </c>
      <c r="AN100" s="23">
        <f>IF(OR($AH100="",$Y100=""),"",N($AI100)-$Y100)</f>
        <v/>
      </c>
    </row>
    <row r="101">
      <c r="Q101" s="20" t="n"/>
      <c r="R101" s="20" t="n"/>
      <c r="S101" s="21" t="n"/>
      <c r="U101" s="21" t="n"/>
      <c r="V101" s="22" t="n"/>
      <c r="X101" s="23">
        <f>IF(OR($S101="",$R101=""),"",ROUND(MAX(0,IF($W101="Straight-line",IF(N($V101)&lt;=0,0,($S101-N($U101))*MIN($AJ101,$V101)/$V101),IF($W101="Reducing balance",MIN(($S101-N($U101)),$S101-$S101*(1-N($AG101))^INT($AJ101/12)*(1-N($AG101)*MOD($AJ101,12)/12)),IF($W101="DDB",IF(N($V101)&lt;=0,0,MIN(($S101-N($U101)),$S101-$S101*(1-MIN(1,24/$V101))^INT($AJ101/12)*(1-MIN(1,24/$V101)*MOD($AJ101,12)/12))),IF($W101="SYD",IF(N($V101)&lt;=0,0,($S101-N($U101))*(INT(MIN($AJ101,$V101)/12)*(2*($V101/12)-INT(MIN($AJ101,$V101)/12)+1)/2+MOD(MIN($AJ101,$V101),12)/12*(($V101/12)-INT(MIN($AJ101,$V101)/12)))/(($V101/12)*(($V101/12)+1)/2)),0))))),2))</f>
        <v/>
      </c>
      <c r="Y101" s="23">
        <f>IF($X101="","",$S101-$X101)</f>
        <v/>
      </c>
      <c r="AD101" s="20" t="n"/>
      <c r="AG101" s="24" t="n"/>
      <c r="AH101" s="20" t="n"/>
      <c r="AI101" s="21" t="n"/>
      <c r="AJ101" s="25">
        <f>IF($R101="","",IF($R101&gt;IF($AH101&lt;&gt;"",MIN($AH101,Settings!$B$3),Settings!$B$3),0,(YEAR(IF($AH101&lt;&gt;"",MIN($AH101,Settings!$B$3),Settings!$B$3))-YEAR($R101))*12+MONTH(IF($AH101&lt;&gt;"",MIN($AH101,Settings!$B$3),Settings!$B$3))-MONTH($R101)+1))</f>
        <v/>
      </c>
      <c r="AK101" s="25">
        <f>IF($R101="","",IF($R101&gt;MIN(Settings!$B$4-1,IF($AH101&lt;&gt;"",MIN($AH101,Settings!$B$3),Settings!$B$3)),0,(YEAR(MIN(Settings!$B$4-1,IF($AH101&lt;&gt;"",MIN($AH101,Settings!$B$3),Settings!$B$3)))-YEAR($R101))*12+MONTH(MIN(Settings!$B$4-1,IF($AH101&lt;&gt;"",MIN($AH101,Settings!$B$3),Settings!$B$3)))-MONTH($R101)+1))</f>
        <v/>
      </c>
      <c r="AL101" s="23">
        <f>IF(OR($S101="",$R101=""),"",ROUND(MAX(0,IF($W101="Straight-line",IF(N($V101)&lt;=0,0,($S101-N($U101))*MIN($AK101,$V101)/$V101),IF($W101="Reducing balance",MIN(($S101-N($U101)),$S101-$S101*(1-N($AG101))^INT($AK101/12)*(1-N($AG101)*MOD($AK101,12)/12)),IF($W101="DDB",IF(N($V101)&lt;=0,0,MIN(($S101-N($U101)),$S101-$S101*(1-MIN(1,24/$V101))^INT($AK101/12)*(1-MIN(1,24/$V101)*MOD($AK101,12)/12))),IF($W101="SYD",IF(N($V101)&lt;=0,0,($S101-N($U101))*(INT(MIN($AK101,$V101)/12)*(2*($V101/12)-INT(MIN($AK101,$V101)/12)+1)/2+MOD(MIN($AK101,$V101),12)/12*(($V101/12)-INT(MIN($AK101,$V101)/12)))/(($V101/12)*(($V101/12)+1)/2)),0))))),2))</f>
        <v/>
      </c>
      <c r="AM101" s="23">
        <f>IF($X101="","",$X101-$AL101)</f>
        <v/>
      </c>
      <c r="AN101" s="23">
        <f>IF(OR($AH101="",$Y101=""),"",N($AI101)-$Y101)</f>
        <v/>
      </c>
    </row>
    <row r="102">
      <c r="Q102" s="20" t="n"/>
      <c r="R102" s="20" t="n"/>
      <c r="S102" s="21" t="n"/>
      <c r="U102" s="21" t="n"/>
      <c r="V102" s="22" t="n"/>
      <c r="X102" s="23">
        <f>IF(OR($S102="",$R102=""),"",ROUND(MAX(0,IF($W102="Straight-line",IF(N($V102)&lt;=0,0,($S102-N($U102))*MIN($AJ102,$V102)/$V102),IF($W102="Reducing balance",MIN(($S102-N($U102)),$S102-$S102*(1-N($AG102))^INT($AJ102/12)*(1-N($AG102)*MOD($AJ102,12)/12)),IF($W102="DDB",IF(N($V102)&lt;=0,0,MIN(($S102-N($U102)),$S102-$S102*(1-MIN(1,24/$V102))^INT($AJ102/12)*(1-MIN(1,24/$V102)*MOD($AJ102,12)/12))),IF($W102="SYD",IF(N($V102)&lt;=0,0,($S102-N($U102))*(INT(MIN($AJ102,$V102)/12)*(2*($V102/12)-INT(MIN($AJ102,$V102)/12)+1)/2+MOD(MIN($AJ102,$V102),12)/12*(($V102/12)-INT(MIN($AJ102,$V102)/12)))/(($V102/12)*(($V102/12)+1)/2)),0))))),2))</f>
        <v/>
      </c>
      <c r="Y102" s="23">
        <f>IF($X102="","",$S102-$X102)</f>
        <v/>
      </c>
      <c r="AD102" s="20" t="n"/>
      <c r="AG102" s="24" t="n"/>
      <c r="AH102" s="20" t="n"/>
      <c r="AI102" s="21" t="n"/>
      <c r="AJ102" s="25">
        <f>IF($R102="","",IF($R102&gt;IF($AH102&lt;&gt;"",MIN($AH102,Settings!$B$3),Settings!$B$3),0,(YEAR(IF($AH102&lt;&gt;"",MIN($AH102,Settings!$B$3),Settings!$B$3))-YEAR($R102))*12+MONTH(IF($AH102&lt;&gt;"",MIN($AH102,Settings!$B$3),Settings!$B$3))-MONTH($R102)+1))</f>
        <v/>
      </c>
      <c r="AK102" s="25">
        <f>IF($R102="","",IF($R102&gt;MIN(Settings!$B$4-1,IF($AH102&lt;&gt;"",MIN($AH102,Settings!$B$3),Settings!$B$3)),0,(YEAR(MIN(Settings!$B$4-1,IF($AH102&lt;&gt;"",MIN($AH102,Settings!$B$3),Settings!$B$3)))-YEAR($R102))*12+MONTH(MIN(Settings!$B$4-1,IF($AH102&lt;&gt;"",MIN($AH102,Settings!$B$3),Settings!$B$3)))-MONTH($R102)+1))</f>
        <v/>
      </c>
      <c r="AL102" s="23">
        <f>IF(OR($S102="",$R102=""),"",ROUND(MAX(0,IF($W102="Straight-line",IF(N($V102)&lt;=0,0,($S102-N($U102))*MIN($AK102,$V102)/$V102),IF($W102="Reducing balance",MIN(($S102-N($U102)),$S102-$S102*(1-N($AG102))^INT($AK102/12)*(1-N($AG102)*MOD($AK102,12)/12)),IF($W102="DDB",IF(N($V102)&lt;=0,0,MIN(($S102-N($U102)),$S102-$S102*(1-MIN(1,24/$V102))^INT($AK102/12)*(1-MIN(1,24/$V102)*MOD($AK102,12)/12))),IF($W102="SYD",IF(N($V102)&lt;=0,0,($S102-N($U102))*(INT(MIN($AK102,$V102)/12)*(2*($V102/12)-INT(MIN($AK102,$V102)/12)+1)/2+MOD(MIN($AK102,$V102),12)/12*(($V102/12)-INT(MIN($AK102,$V102)/12)))/(($V102/12)*(($V102/12)+1)/2)),0))))),2))</f>
        <v/>
      </c>
      <c r="AM102" s="23">
        <f>IF($X102="","",$X102-$AL102)</f>
        <v/>
      </c>
      <c r="AN102" s="23">
        <f>IF(OR($AH102="",$Y102=""),"",N($AI102)-$Y102)</f>
        <v/>
      </c>
    </row>
    <row r="103">
      <c r="Q103" s="20" t="n"/>
      <c r="R103" s="20" t="n"/>
      <c r="S103" s="21" t="n"/>
      <c r="U103" s="21" t="n"/>
      <c r="V103" s="22" t="n"/>
      <c r="X103" s="23">
        <f>IF(OR($S103="",$R103=""),"",ROUND(MAX(0,IF($W103="Straight-line",IF(N($V103)&lt;=0,0,($S103-N($U103))*MIN($AJ103,$V103)/$V103),IF($W103="Reducing balance",MIN(($S103-N($U103)),$S103-$S103*(1-N($AG103))^INT($AJ103/12)*(1-N($AG103)*MOD($AJ103,12)/12)),IF($W103="DDB",IF(N($V103)&lt;=0,0,MIN(($S103-N($U103)),$S103-$S103*(1-MIN(1,24/$V103))^INT($AJ103/12)*(1-MIN(1,24/$V103)*MOD($AJ103,12)/12))),IF($W103="SYD",IF(N($V103)&lt;=0,0,($S103-N($U103))*(INT(MIN($AJ103,$V103)/12)*(2*($V103/12)-INT(MIN($AJ103,$V103)/12)+1)/2+MOD(MIN($AJ103,$V103),12)/12*(($V103/12)-INT(MIN($AJ103,$V103)/12)))/(($V103/12)*(($V103/12)+1)/2)),0))))),2))</f>
        <v/>
      </c>
      <c r="Y103" s="23">
        <f>IF($X103="","",$S103-$X103)</f>
        <v/>
      </c>
      <c r="AD103" s="20" t="n"/>
      <c r="AG103" s="24" t="n"/>
      <c r="AH103" s="20" t="n"/>
      <c r="AI103" s="21" t="n"/>
      <c r="AJ103" s="25">
        <f>IF($R103="","",IF($R103&gt;IF($AH103&lt;&gt;"",MIN($AH103,Settings!$B$3),Settings!$B$3),0,(YEAR(IF($AH103&lt;&gt;"",MIN($AH103,Settings!$B$3),Settings!$B$3))-YEAR($R103))*12+MONTH(IF($AH103&lt;&gt;"",MIN($AH103,Settings!$B$3),Settings!$B$3))-MONTH($R103)+1))</f>
        <v/>
      </c>
      <c r="AK103" s="25">
        <f>IF($R103="","",IF($R103&gt;MIN(Settings!$B$4-1,IF($AH103&lt;&gt;"",MIN($AH103,Settings!$B$3),Settings!$B$3)),0,(YEAR(MIN(Settings!$B$4-1,IF($AH103&lt;&gt;"",MIN($AH103,Settings!$B$3),Settings!$B$3)))-YEAR($R103))*12+MONTH(MIN(Settings!$B$4-1,IF($AH103&lt;&gt;"",MIN($AH103,Settings!$B$3),Settings!$B$3)))-MONTH($R103)+1))</f>
        <v/>
      </c>
      <c r="AL103" s="23">
        <f>IF(OR($S103="",$R103=""),"",ROUND(MAX(0,IF($W103="Straight-line",IF(N($V103)&lt;=0,0,($S103-N($U103))*MIN($AK103,$V103)/$V103),IF($W103="Reducing balance",MIN(($S103-N($U103)),$S103-$S103*(1-N($AG103))^INT($AK103/12)*(1-N($AG103)*MOD($AK103,12)/12)),IF($W103="DDB",IF(N($V103)&lt;=0,0,MIN(($S103-N($U103)),$S103-$S103*(1-MIN(1,24/$V103))^INT($AK103/12)*(1-MIN(1,24/$V103)*MOD($AK103,12)/12))),IF($W103="SYD",IF(N($V103)&lt;=0,0,($S103-N($U103))*(INT(MIN($AK103,$V103)/12)*(2*($V103/12)-INT(MIN($AK103,$V103)/12)+1)/2+MOD(MIN($AK103,$V103),12)/12*(($V103/12)-INT(MIN($AK103,$V103)/12)))/(($V103/12)*(($V103/12)+1)/2)),0))))),2))</f>
        <v/>
      </c>
      <c r="AM103" s="23">
        <f>IF($X103="","",$X103-$AL103)</f>
        <v/>
      </c>
      <c r="AN103" s="23">
        <f>IF(OR($AH103="",$Y103=""),"",N($AI103)-$Y103)</f>
        <v/>
      </c>
    </row>
    <row r="104">
      <c r="Q104" s="20" t="n"/>
      <c r="R104" s="20" t="n"/>
      <c r="S104" s="21" t="n"/>
      <c r="U104" s="21" t="n"/>
      <c r="V104" s="22" t="n"/>
      <c r="X104" s="23">
        <f>IF(OR($S104="",$R104=""),"",ROUND(MAX(0,IF($W104="Straight-line",IF(N($V104)&lt;=0,0,($S104-N($U104))*MIN($AJ104,$V104)/$V104),IF($W104="Reducing balance",MIN(($S104-N($U104)),$S104-$S104*(1-N($AG104))^INT($AJ104/12)*(1-N($AG104)*MOD($AJ104,12)/12)),IF($W104="DDB",IF(N($V104)&lt;=0,0,MIN(($S104-N($U104)),$S104-$S104*(1-MIN(1,24/$V104))^INT($AJ104/12)*(1-MIN(1,24/$V104)*MOD($AJ104,12)/12))),IF($W104="SYD",IF(N($V104)&lt;=0,0,($S104-N($U104))*(INT(MIN($AJ104,$V104)/12)*(2*($V104/12)-INT(MIN($AJ104,$V104)/12)+1)/2+MOD(MIN($AJ104,$V104),12)/12*(($V104/12)-INT(MIN($AJ104,$V104)/12)))/(($V104/12)*(($V104/12)+1)/2)),0))))),2))</f>
        <v/>
      </c>
      <c r="Y104" s="23">
        <f>IF($X104="","",$S104-$X104)</f>
        <v/>
      </c>
      <c r="AD104" s="20" t="n"/>
      <c r="AG104" s="24" t="n"/>
      <c r="AH104" s="20" t="n"/>
      <c r="AI104" s="21" t="n"/>
      <c r="AJ104" s="25">
        <f>IF($R104="","",IF($R104&gt;IF($AH104&lt;&gt;"",MIN($AH104,Settings!$B$3),Settings!$B$3),0,(YEAR(IF($AH104&lt;&gt;"",MIN($AH104,Settings!$B$3),Settings!$B$3))-YEAR($R104))*12+MONTH(IF($AH104&lt;&gt;"",MIN($AH104,Settings!$B$3),Settings!$B$3))-MONTH($R104)+1))</f>
        <v/>
      </c>
      <c r="AK104" s="25">
        <f>IF($R104="","",IF($R104&gt;MIN(Settings!$B$4-1,IF($AH104&lt;&gt;"",MIN($AH104,Settings!$B$3),Settings!$B$3)),0,(YEAR(MIN(Settings!$B$4-1,IF($AH104&lt;&gt;"",MIN($AH104,Settings!$B$3),Settings!$B$3)))-YEAR($R104))*12+MONTH(MIN(Settings!$B$4-1,IF($AH104&lt;&gt;"",MIN($AH104,Settings!$B$3),Settings!$B$3)))-MONTH($R104)+1))</f>
        <v/>
      </c>
      <c r="AL104" s="23">
        <f>IF(OR($S104="",$R104=""),"",ROUND(MAX(0,IF($W104="Straight-line",IF(N($V104)&lt;=0,0,($S104-N($U104))*MIN($AK104,$V104)/$V104),IF($W104="Reducing balance",MIN(($S104-N($U104)),$S104-$S104*(1-N($AG104))^INT($AK104/12)*(1-N($AG104)*MOD($AK104,12)/12)),IF($W104="DDB",IF(N($V104)&lt;=0,0,MIN(($S104-N($U104)),$S104-$S104*(1-MIN(1,24/$V104))^INT($AK104/12)*(1-MIN(1,24/$V104)*MOD($AK104,12)/12))),IF($W104="SYD",IF(N($V104)&lt;=0,0,($S104-N($U104))*(INT(MIN($AK104,$V104)/12)*(2*($V104/12)-INT(MIN($AK104,$V104)/12)+1)/2+MOD(MIN($AK104,$V104),12)/12*(($V104/12)-INT(MIN($AK104,$V104)/12)))/(($V104/12)*(($V104/12)+1)/2)),0))))),2))</f>
        <v/>
      </c>
      <c r="AM104" s="23">
        <f>IF($X104="","",$X104-$AL104)</f>
        <v/>
      </c>
      <c r="AN104" s="23">
        <f>IF(OR($AH104="",$Y104=""),"",N($AI104)-$Y104)</f>
        <v/>
      </c>
    </row>
    <row r="105">
      <c r="Q105" s="20" t="n"/>
      <c r="R105" s="20" t="n"/>
      <c r="S105" s="21" t="n"/>
      <c r="U105" s="21" t="n"/>
      <c r="V105" s="22" t="n"/>
      <c r="X105" s="23">
        <f>IF(OR($S105="",$R105=""),"",ROUND(MAX(0,IF($W105="Straight-line",IF(N($V105)&lt;=0,0,($S105-N($U105))*MIN($AJ105,$V105)/$V105),IF($W105="Reducing balance",MIN(($S105-N($U105)),$S105-$S105*(1-N($AG105))^INT($AJ105/12)*(1-N($AG105)*MOD($AJ105,12)/12)),IF($W105="DDB",IF(N($V105)&lt;=0,0,MIN(($S105-N($U105)),$S105-$S105*(1-MIN(1,24/$V105))^INT($AJ105/12)*(1-MIN(1,24/$V105)*MOD($AJ105,12)/12))),IF($W105="SYD",IF(N($V105)&lt;=0,0,($S105-N($U105))*(INT(MIN($AJ105,$V105)/12)*(2*($V105/12)-INT(MIN($AJ105,$V105)/12)+1)/2+MOD(MIN($AJ105,$V105),12)/12*(($V105/12)-INT(MIN($AJ105,$V105)/12)))/(($V105/12)*(($V105/12)+1)/2)),0))))),2))</f>
        <v/>
      </c>
      <c r="Y105" s="23">
        <f>IF($X105="","",$S105-$X105)</f>
        <v/>
      </c>
      <c r="AD105" s="20" t="n"/>
      <c r="AG105" s="24" t="n"/>
      <c r="AH105" s="20" t="n"/>
      <c r="AI105" s="21" t="n"/>
      <c r="AJ105" s="25">
        <f>IF($R105="","",IF($R105&gt;IF($AH105&lt;&gt;"",MIN($AH105,Settings!$B$3),Settings!$B$3),0,(YEAR(IF($AH105&lt;&gt;"",MIN($AH105,Settings!$B$3),Settings!$B$3))-YEAR($R105))*12+MONTH(IF($AH105&lt;&gt;"",MIN($AH105,Settings!$B$3),Settings!$B$3))-MONTH($R105)+1))</f>
        <v/>
      </c>
      <c r="AK105" s="25">
        <f>IF($R105="","",IF($R105&gt;MIN(Settings!$B$4-1,IF($AH105&lt;&gt;"",MIN($AH105,Settings!$B$3),Settings!$B$3)),0,(YEAR(MIN(Settings!$B$4-1,IF($AH105&lt;&gt;"",MIN($AH105,Settings!$B$3),Settings!$B$3)))-YEAR($R105))*12+MONTH(MIN(Settings!$B$4-1,IF($AH105&lt;&gt;"",MIN($AH105,Settings!$B$3),Settings!$B$3)))-MONTH($R105)+1))</f>
        <v/>
      </c>
      <c r="AL105" s="23">
        <f>IF(OR($S105="",$R105=""),"",ROUND(MAX(0,IF($W105="Straight-line",IF(N($V105)&lt;=0,0,($S105-N($U105))*MIN($AK105,$V105)/$V105),IF($W105="Reducing balance",MIN(($S105-N($U105)),$S105-$S105*(1-N($AG105))^INT($AK105/12)*(1-N($AG105)*MOD($AK105,12)/12)),IF($W105="DDB",IF(N($V105)&lt;=0,0,MIN(($S105-N($U105)),$S105-$S105*(1-MIN(1,24/$V105))^INT($AK105/12)*(1-MIN(1,24/$V105)*MOD($AK105,12)/12))),IF($W105="SYD",IF(N($V105)&lt;=0,0,($S105-N($U105))*(INT(MIN($AK105,$V105)/12)*(2*($V105/12)-INT(MIN($AK105,$V105)/12)+1)/2+MOD(MIN($AK105,$V105),12)/12*(($V105/12)-INT(MIN($AK105,$V105)/12)))/(($V105/12)*(($V105/12)+1)/2)),0))))),2))</f>
        <v/>
      </c>
      <c r="AM105" s="23">
        <f>IF($X105="","",$X105-$AL105)</f>
        <v/>
      </c>
      <c r="AN105" s="23">
        <f>IF(OR($AH105="",$Y105=""),"",N($AI105)-$Y105)</f>
        <v/>
      </c>
    </row>
    <row r="106">
      <c r="Q106" s="20" t="n"/>
      <c r="R106" s="20" t="n"/>
      <c r="S106" s="21" t="n"/>
      <c r="U106" s="21" t="n"/>
      <c r="V106" s="22" t="n"/>
      <c r="X106" s="23">
        <f>IF(OR($S106="",$R106=""),"",ROUND(MAX(0,IF($W106="Straight-line",IF(N($V106)&lt;=0,0,($S106-N($U106))*MIN($AJ106,$V106)/$V106),IF($W106="Reducing balance",MIN(($S106-N($U106)),$S106-$S106*(1-N($AG106))^INT($AJ106/12)*(1-N($AG106)*MOD($AJ106,12)/12)),IF($W106="DDB",IF(N($V106)&lt;=0,0,MIN(($S106-N($U106)),$S106-$S106*(1-MIN(1,24/$V106))^INT($AJ106/12)*(1-MIN(1,24/$V106)*MOD($AJ106,12)/12))),IF($W106="SYD",IF(N($V106)&lt;=0,0,($S106-N($U106))*(INT(MIN($AJ106,$V106)/12)*(2*($V106/12)-INT(MIN($AJ106,$V106)/12)+1)/2+MOD(MIN($AJ106,$V106),12)/12*(($V106/12)-INT(MIN($AJ106,$V106)/12)))/(($V106/12)*(($V106/12)+1)/2)),0))))),2))</f>
        <v/>
      </c>
      <c r="Y106" s="23">
        <f>IF($X106="","",$S106-$X106)</f>
        <v/>
      </c>
      <c r="AD106" s="20" t="n"/>
      <c r="AG106" s="24" t="n"/>
      <c r="AH106" s="20" t="n"/>
      <c r="AI106" s="21" t="n"/>
      <c r="AJ106" s="25">
        <f>IF($R106="","",IF($R106&gt;IF($AH106&lt;&gt;"",MIN($AH106,Settings!$B$3),Settings!$B$3),0,(YEAR(IF($AH106&lt;&gt;"",MIN($AH106,Settings!$B$3),Settings!$B$3))-YEAR($R106))*12+MONTH(IF($AH106&lt;&gt;"",MIN($AH106,Settings!$B$3),Settings!$B$3))-MONTH($R106)+1))</f>
        <v/>
      </c>
      <c r="AK106" s="25">
        <f>IF($R106="","",IF($R106&gt;MIN(Settings!$B$4-1,IF($AH106&lt;&gt;"",MIN($AH106,Settings!$B$3),Settings!$B$3)),0,(YEAR(MIN(Settings!$B$4-1,IF($AH106&lt;&gt;"",MIN($AH106,Settings!$B$3),Settings!$B$3)))-YEAR($R106))*12+MONTH(MIN(Settings!$B$4-1,IF($AH106&lt;&gt;"",MIN($AH106,Settings!$B$3),Settings!$B$3)))-MONTH($R106)+1))</f>
        <v/>
      </c>
      <c r="AL106" s="23">
        <f>IF(OR($S106="",$R106=""),"",ROUND(MAX(0,IF($W106="Straight-line",IF(N($V106)&lt;=0,0,($S106-N($U106))*MIN($AK106,$V106)/$V106),IF($W106="Reducing balance",MIN(($S106-N($U106)),$S106-$S106*(1-N($AG106))^INT($AK106/12)*(1-N($AG106)*MOD($AK106,12)/12)),IF($W106="DDB",IF(N($V106)&lt;=0,0,MIN(($S106-N($U106)),$S106-$S106*(1-MIN(1,24/$V106))^INT($AK106/12)*(1-MIN(1,24/$V106)*MOD($AK106,12)/12))),IF($W106="SYD",IF(N($V106)&lt;=0,0,($S106-N($U106))*(INT(MIN($AK106,$V106)/12)*(2*($V106/12)-INT(MIN($AK106,$V106)/12)+1)/2+MOD(MIN($AK106,$V106),12)/12*(($V106/12)-INT(MIN($AK106,$V106)/12)))/(($V106/12)*(($V106/12)+1)/2)),0))))),2))</f>
        <v/>
      </c>
      <c r="AM106" s="23">
        <f>IF($X106="","",$X106-$AL106)</f>
        <v/>
      </c>
      <c r="AN106" s="23">
        <f>IF(OR($AH106="",$Y106=""),"",N($AI106)-$Y106)</f>
        <v/>
      </c>
    </row>
    <row r="107">
      <c r="Q107" s="20" t="n"/>
      <c r="R107" s="20" t="n"/>
      <c r="S107" s="21" t="n"/>
      <c r="U107" s="21" t="n"/>
      <c r="V107" s="22" t="n"/>
      <c r="X107" s="23">
        <f>IF(OR($S107="",$R107=""),"",ROUND(MAX(0,IF($W107="Straight-line",IF(N($V107)&lt;=0,0,($S107-N($U107))*MIN($AJ107,$V107)/$V107),IF($W107="Reducing balance",MIN(($S107-N($U107)),$S107-$S107*(1-N($AG107))^INT($AJ107/12)*(1-N($AG107)*MOD($AJ107,12)/12)),IF($W107="DDB",IF(N($V107)&lt;=0,0,MIN(($S107-N($U107)),$S107-$S107*(1-MIN(1,24/$V107))^INT($AJ107/12)*(1-MIN(1,24/$V107)*MOD($AJ107,12)/12))),IF($W107="SYD",IF(N($V107)&lt;=0,0,($S107-N($U107))*(INT(MIN($AJ107,$V107)/12)*(2*($V107/12)-INT(MIN($AJ107,$V107)/12)+1)/2+MOD(MIN($AJ107,$V107),12)/12*(($V107/12)-INT(MIN($AJ107,$V107)/12)))/(($V107/12)*(($V107/12)+1)/2)),0))))),2))</f>
        <v/>
      </c>
      <c r="Y107" s="23">
        <f>IF($X107="","",$S107-$X107)</f>
        <v/>
      </c>
      <c r="AD107" s="20" t="n"/>
      <c r="AG107" s="24" t="n"/>
      <c r="AH107" s="20" t="n"/>
      <c r="AI107" s="21" t="n"/>
      <c r="AJ107" s="25">
        <f>IF($R107="","",IF($R107&gt;IF($AH107&lt;&gt;"",MIN($AH107,Settings!$B$3),Settings!$B$3),0,(YEAR(IF($AH107&lt;&gt;"",MIN($AH107,Settings!$B$3),Settings!$B$3))-YEAR($R107))*12+MONTH(IF($AH107&lt;&gt;"",MIN($AH107,Settings!$B$3),Settings!$B$3))-MONTH($R107)+1))</f>
        <v/>
      </c>
      <c r="AK107" s="25">
        <f>IF($R107="","",IF($R107&gt;MIN(Settings!$B$4-1,IF($AH107&lt;&gt;"",MIN($AH107,Settings!$B$3),Settings!$B$3)),0,(YEAR(MIN(Settings!$B$4-1,IF($AH107&lt;&gt;"",MIN($AH107,Settings!$B$3),Settings!$B$3)))-YEAR($R107))*12+MONTH(MIN(Settings!$B$4-1,IF($AH107&lt;&gt;"",MIN($AH107,Settings!$B$3),Settings!$B$3)))-MONTH($R107)+1))</f>
        <v/>
      </c>
      <c r="AL107" s="23">
        <f>IF(OR($S107="",$R107=""),"",ROUND(MAX(0,IF($W107="Straight-line",IF(N($V107)&lt;=0,0,($S107-N($U107))*MIN($AK107,$V107)/$V107),IF($W107="Reducing balance",MIN(($S107-N($U107)),$S107-$S107*(1-N($AG107))^INT($AK107/12)*(1-N($AG107)*MOD($AK107,12)/12)),IF($W107="DDB",IF(N($V107)&lt;=0,0,MIN(($S107-N($U107)),$S107-$S107*(1-MIN(1,24/$V107))^INT($AK107/12)*(1-MIN(1,24/$V107)*MOD($AK107,12)/12))),IF($W107="SYD",IF(N($V107)&lt;=0,0,($S107-N($U107))*(INT(MIN($AK107,$V107)/12)*(2*($V107/12)-INT(MIN($AK107,$V107)/12)+1)/2+MOD(MIN($AK107,$V107),12)/12*(($V107/12)-INT(MIN($AK107,$V107)/12)))/(($V107/12)*(($V107/12)+1)/2)),0))))),2))</f>
        <v/>
      </c>
      <c r="AM107" s="23">
        <f>IF($X107="","",$X107-$AL107)</f>
        <v/>
      </c>
      <c r="AN107" s="23">
        <f>IF(OR($AH107="",$Y107=""),"",N($AI107)-$Y107)</f>
        <v/>
      </c>
    </row>
    <row r="108">
      <c r="Q108" s="20" t="n"/>
      <c r="R108" s="20" t="n"/>
      <c r="S108" s="21" t="n"/>
      <c r="U108" s="21" t="n"/>
      <c r="V108" s="22" t="n"/>
      <c r="X108" s="23">
        <f>IF(OR($S108="",$R108=""),"",ROUND(MAX(0,IF($W108="Straight-line",IF(N($V108)&lt;=0,0,($S108-N($U108))*MIN($AJ108,$V108)/$V108),IF($W108="Reducing balance",MIN(($S108-N($U108)),$S108-$S108*(1-N($AG108))^INT($AJ108/12)*(1-N($AG108)*MOD($AJ108,12)/12)),IF($W108="DDB",IF(N($V108)&lt;=0,0,MIN(($S108-N($U108)),$S108-$S108*(1-MIN(1,24/$V108))^INT($AJ108/12)*(1-MIN(1,24/$V108)*MOD($AJ108,12)/12))),IF($W108="SYD",IF(N($V108)&lt;=0,0,($S108-N($U108))*(INT(MIN($AJ108,$V108)/12)*(2*($V108/12)-INT(MIN($AJ108,$V108)/12)+1)/2+MOD(MIN($AJ108,$V108),12)/12*(($V108/12)-INT(MIN($AJ108,$V108)/12)))/(($V108/12)*(($V108/12)+1)/2)),0))))),2))</f>
        <v/>
      </c>
      <c r="Y108" s="23">
        <f>IF($X108="","",$S108-$X108)</f>
        <v/>
      </c>
      <c r="AD108" s="20" t="n"/>
      <c r="AG108" s="24" t="n"/>
      <c r="AH108" s="20" t="n"/>
      <c r="AI108" s="21" t="n"/>
      <c r="AJ108" s="25">
        <f>IF($R108="","",IF($R108&gt;IF($AH108&lt;&gt;"",MIN($AH108,Settings!$B$3),Settings!$B$3),0,(YEAR(IF($AH108&lt;&gt;"",MIN($AH108,Settings!$B$3),Settings!$B$3))-YEAR($R108))*12+MONTH(IF($AH108&lt;&gt;"",MIN($AH108,Settings!$B$3),Settings!$B$3))-MONTH($R108)+1))</f>
        <v/>
      </c>
      <c r="AK108" s="25">
        <f>IF($R108="","",IF($R108&gt;MIN(Settings!$B$4-1,IF($AH108&lt;&gt;"",MIN($AH108,Settings!$B$3),Settings!$B$3)),0,(YEAR(MIN(Settings!$B$4-1,IF($AH108&lt;&gt;"",MIN($AH108,Settings!$B$3),Settings!$B$3)))-YEAR($R108))*12+MONTH(MIN(Settings!$B$4-1,IF($AH108&lt;&gt;"",MIN($AH108,Settings!$B$3),Settings!$B$3)))-MONTH($R108)+1))</f>
        <v/>
      </c>
      <c r="AL108" s="23">
        <f>IF(OR($S108="",$R108=""),"",ROUND(MAX(0,IF($W108="Straight-line",IF(N($V108)&lt;=0,0,($S108-N($U108))*MIN($AK108,$V108)/$V108),IF($W108="Reducing balance",MIN(($S108-N($U108)),$S108-$S108*(1-N($AG108))^INT($AK108/12)*(1-N($AG108)*MOD($AK108,12)/12)),IF($W108="DDB",IF(N($V108)&lt;=0,0,MIN(($S108-N($U108)),$S108-$S108*(1-MIN(1,24/$V108))^INT($AK108/12)*(1-MIN(1,24/$V108)*MOD($AK108,12)/12))),IF($W108="SYD",IF(N($V108)&lt;=0,0,($S108-N($U108))*(INT(MIN($AK108,$V108)/12)*(2*($V108/12)-INT(MIN($AK108,$V108)/12)+1)/2+MOD(MIN($AK108,$V108),12)/12*(($V108/12)-INT(MIN($AK108,$V108)/12)))/(($V108/12)*(($V108/12)+1)/2)),0))))),2))</f>
        <v/>
      </c>
      <c r="AM108" s="23">
        <f>IF($X108="","",$X108-$AL108)</f>
        <v/>
      </c>
      <c r="AN108" s="23">
        <f>IF(OR($AH108="",$Y108=""),"",N($AI108)-$Y108)</f>
        <v/>
      </c>
    </row>
    <row r="109">
      <c r="Q109" s="20" t="n"/>
      <c r="R109" s="20" t="n"/>
      <c r="S109" s="21" t="n"/>
      <c r="U109" s="21" t="n"/>
      <c r="V109" s="22" t="n"/>
      <c r="X109" s="23">
        <f>IF(OR($S109="",$R109=""),"",ROUND(MAX(0,IF($W109="Straight-line",IF(N($V109)&lt;=0,0,($S109-N($U109))*MIN($AJ109,$V109)/$V109),IF($W109="Reducing balance",MIN(($S109-N($U109)),$S109-$S109*(1-N($AG109))^INT($AJ109/12)*(1-N($AG109)*MOD($AJ109,12)/12)),IF($W109="DDB",IF(N($V109)&lt;=0,0,MIN(($S109-N($U109)),$S109-$S109*(1-MIN(1,24/$V109))^INT($AJ109/12)*(1-MIN(1,24/$V109)*MOD($AJ109,12)/12))),IF($W109="SYD",IF(N($V109)&lt;=0,0,($S109-N($U109))*(INT(MIN($AJ109,$V109)/12)*(2*($V109/12)-INT(MIN($AJ109,$V109)/12)+1)/2+MOD(MIN($AJ109,$V109),12)/12*(($V109/12)-INT(MIN($AJ109,$V109)/12)))/(($V109/12)*(($V109/12)+1)/2)),0))))),2))</f>
        <v/>
      </c>
      <c r="Y109" s="23">
        <f>IF($X109="","",$S109-$X109)</f>
        <v/>
      </c>
      <c r="AD109" s="20" t="n"/>
      <c r="AG109" s="24" t="n"/>
      <c r="AH109" s="20" t="n"/>
      <c r="AI109" s="21" t="n"/>
      <c r="AJ109" s="25">
        <f>IF($R109="","",IF($R109&gt;IF($AH109&lt;&gt;"",MIN($AH109,Settings!$B$3),Settings!$B$3),0,(YEAR(IF($AH109&lt;&gt;"",MIN($AH109,Settings!$B$3),Settings!$B$3))-YEAR($R109))*12+MONTH(IF($AH109&lt;&gt;"",MIN($AH109,Settings!$B$3),Settings!$B$3))-MONTH($R109)+1))</f>
        <v/>
      </c>
      <c r="AK109" s="25">
        <f>IF($R109="","",IF($R109&gt;MIN(Settings!$B$4-1,IF($AH109&lt;&gt;"",MIN($AH109,Settings!$B$3),Settings!$B$3)),0,(YEAR(MIN(Settings!$B$4-1,IF($AH109&lt;&gt;"",MIN($AH109,Settings!$B$3),Settings!$B$3)))-YEAR($R109))*12+MONTH(MIN(Settings!$B$4-1,IF($AH109&lt;&gt;"",MIN($AH109,Settings!$B$3),Settings!$B$3)))-MONTH($R109)+1))</f>
        <v/>
      </c>
      <c r="AL109" s="23">
        <f>IF(OR($S109="",$R109=""),"",ROUND(MAX(0,IF($W109="Straight-line",IF(N($V109)&lt;=0,0,($S109-N($U109))*MIN($AK109,$V109)/$V109),IF($W109="Reducing balance",MIN(($S109-N($U109)),$S109-$S109*(1-N($AG109))^INT($AK109/12)*(1-N($AG109)*MOD($AK109,12)/12)),IF($W109="DDB",IF(N($V109)&lt;=0,0,MIN(($S109-N($U109)),$S109-$S109*(1-MIN(1,24/$V109))^INT($AK109/12)*(1-MIN(1,24/$V109)*MOD($AK109,12)/12))),IF($W109="SYD",IF(N($V109)&lt;=0,0,($S109-N($U109))*(INT(MIN($AK109,$V109)/12)*(2*($V109/12)-INT(MIN($AK109,$V109)/12)+1)/2+MOD(MIN($AK109,$V109),12)/12*(($V109/12)-INT(MIN($AK109,$V109)/12)))/(($V109/12)*(($V109/12)+1)/2)),0))))),2))</f>
        <v/>
      </c>
      <c r="AM109" s="23">
        <f>IF($X109="","",$X109-$AL109)</f>
        <v/>
      </c>
      <c r="AN109" s="23">
        <f>IF(OR($AH109="",$Y109=""),"",N($AI109)-$Y109)</f>
        <v/>
      </c>
    </row>
    <row r="110">
      <c r="Q110" s="20" t="n"/>
      <c r="R110" s="20" t="n"/>
      <c r="S110" s="21" t="n"/>
      <c r="U110" s="21" t="n"/>
      <c r="V110" s="22" t="n"/>
      <c r="X110" s="23">
        <f>IF(OR($S110="",$R110=""),"",ROUND(MAX(0,IF($W110="Straight-line",IF(N($V110)&lt;=0,0,($S110-N($U110))*MIN($AJ110,$V110)/$V110),IF($W110="Reducing balance",MIN(($S110-N($U110)),$S110-$S110*(1-N($AG110))^INT($AJ110/12)*(1-N($AG110)*MOD($AJ110,12)/12)),IF($W110="DDB",IF(N($V110)&lt;=0,0,MIN(($S110-N($U110)),$S110-$S110*(1-MIN(1,24/$V110))^INT($AJ110/12)*(1-MIN(1,24/$V110)*MOD($AJ110,12)/12))),IF($W110="SYD",IF(N($V110)&lt;=0,0,($S110-N($U110))*(INT(MIN($AJ110,$V110)/12)*(2*($V110/12)-INT(MIN($AJ110,$V110)/12)+1)/2+MOD(MIN($AJ110,$V110),12)/12*(($V110/12)-INT(MIN($AJ110,$V110)/12)))/(($V110/12)*(($V110/12)+1)/2)),0))))),2))</f>
        <v/>
      </c>
      <c r="Y110" s="23">
        <f>IF($X110="","",$S110-$X110)</f>
        <v/>
      </c>
      <c r="AD110" s="20" t="n"/>
      <c r="AG110" s="24" t="n"/>
      <c r="AH110" s="20" t="n"/>
      <c r="AI110" s="21" t="n"/>
      <c r="AJ110" s="25">
        <f>IF($R110="","",IF($R110&gt;IF($AH110&lt;&gt;"",MIN($AH110,Settings!$B$3),Settings!$B$3),0,(YEAR(IF($AH110&lt;&gt;"",MIN($AH110,Settings!$B$3),Settings!$B$3))-YEAR($R110))*12+MONTH(IF($AH110&lt;&gt;"",MIN($AH110,Settings!$B$3),Settings!$B$3))-MONTH($R110)+1))</f>
        <v/>
      </c>
      <c r="AK110" s="25">
        <f>IF($R110="","",IF($R110&gt;MIN(Settings!$B$4-1,IF($AH110&lt;&gt;"",MIN($AH110,Settings!$B$3),Settings!$B$3)),0,(YEAR(MIN(Settings!$B$4-1,IF($AH110&lt;&gt;"",MIN($AH110,Settings!$B$3),Settings!$B$3)))-YEAR($R110))*12+MONTH(MIN(Settings!$B$4-1,IF($AH110&lt;&gt;"",MIN($AH110,Settings!$B$3),Settings!$B$3)))-MONTH($R110)+1))</f>
        <v/>
      </c>
      <c r="AL110" s="23">
        <f>IF(OR($S110="",$R110=""),"",ROUND(MAX(0,IF($W110="Straight-line",IF(N($V110)&lt;=0,0,($S110-N($U110))*MIN($AK110,$V110)/$V110),IF($W110="Reducing balance",MIN(($S110-N($U110)),$S110-$S110*(1-N($AG110))^INT($AK110/12)*(1-N($AG110)*MOD($AK110,12)/12)),IF($W110="DDB",IF(N($V110)&lt;=0,0,MIN(($S110-N($U110)),$S110-$S110*(1-MIN(1,24/$V110))^INT($AK110/12)*(1-MIN(1,24/$V110)*MOD($AK110,12)/12))),IF($W110="SYD",IF(N($V110)&lt;=0,0,($S110-N($U110))*(INT(MIN($AK110,$V110)/12)*(2*($V110/12)-INT(MIN($AK110,$V110)/12)+1)/2+MOD(MIN($AK110,$V110),12)/12*(($V110/12)-INT(MIN($AK110,$V110)/12)))/(($V110/12)*(($V110/12)+1)/2)),0))))),2))</f>
        <v/>
      </c>
      <c r="AM110" s="23">
        <f>IF($X110="","",$X110-$AL110)</f>
        <v/>
      </c>
      <c r="AN110" s="23">
        <f>IF(OR($AH110="",$Y110=""),"",N($AI110)-$Y110)</f>
        <v/>
      </c>
    </row>
    <row r="111">
      <c r="Q111" s="20" t="n"/>
      <c r="R111" s="20" t="n"/>
      <c r="S111" s="21" t="n"/>
      <c r="U111" s="21" t="n"/>
      <c r="V111" s="22" t="n"/>
      <c r="X111" s="23">
        <f>IF(OR($S111="",$R111=""),"",ROUND(MAX(0,IF($W111="Straight-line",IF(N($V111)&lt;=0,0,($S111-N($U111))*MIN($AJ111,$V111)/$V111),IF($W111="Reducing balance",MIN(($S111-N($U111)),$S111-$S111*(1-N($AG111))^INT($AJ111/12)*(1-N($AG111)*MOD($AJ111,12)/12)),IF($W111="DDB",IF(N($V111)&lt;=0,0,MIN(($S111-N($U111)),$S111-$S111*(1-MIN(1,24/$V111))^INT($AJ111/12)*(1-MIN(1,24/$V111)*MOD($AJ111,12)/12))),IF($W111="SYD",IF(N($V111)&lt;=0,0,($S111-N($U111))*(INT(MIN($AJ111,$V111)/12)*(2*($V111/12)-INT(MIN($AJ111,$V111)/12)+1)/2+MOD(MIN($AJ111,$V111),12)/12*(($V111/12)-INT(MIN($AJ111,$V111)/12)))/(($V111/12)*(($V111/12)+1)/2)),0))))),2))</f>
        <v/>
      </c>
      <c r="Y111" s="23">
        <f>IF($X111="","",$S111-$X111)</f>
        <v/>
      </c>
      <c r="AD111" s="20" t="n"/>
      <c r="AG111" s="24" t="n"/>
      <c r="AH111" s="20" t="n"/>
      <c r="AI111" s="21" t="n"/>
      <c r="AJ111" s="25">
        <f>IF($R111="","",IF($R111&gt;IF($AH111&lt;&gt;"",MIN($AH111,Settings!$B$3),Settings!$B$3),0,(YEAR(IF($AH111&lt;&gt;"",MIN($AH111,Settings!$B$3),Settings!$B$3))-YEAR($R111))*12+MONTH(IF($AH111&lt;&gt;"",MIN($AH111,Settings!$B$3),Settings!$B$3))-MONTH($R111)+1))</f>
        <v/>
      </c>
      <c r="AK111" s="25">
        <f>IF($R111="","",IF($R111&gt;MIN(Settings!$B$4-1,IF($AH111&lt;&gt;"",MIN($AH111,Settings!$B$3),Settings!$B$3)),0,(YEAR(MIN(Settings!$B$4-1,IF($AH111&lt;&gt;"",MIN($AH111,Settings!$B$3),Settings!$B$3)))-YEAR($R111))*12+MONTH(MIN(Settings!$B$4-1,IF($AH111&lt;&gt;"",MIN($AH111,Settings!$B$3),Settings!$B$3)))-MONTH($R111)+1))</f>
        <v/>
      </c>
      <c r="AL111" s="23">
        <f>IF(OR($S111="",$R111=""),"",ROUND(MAX(0,IF($W111="Straight-line",IF(N($V111)&lt;=0,0,($S111-N($U111))*MIN($AK111,$V111)/$V111),IF($W111="Reducing balance",MIN(($S111-N($U111)),$S111-$S111*(1-N($AG111))^INT($AK111/12)*(1-N($AG111)*MOD($AK111,12)/12)),IF($W111="DDB",IF(N($V111)&lt;=0,0,MIN(($S111-N($U111)),$S111-$S111*(1-MIN(1,24/$V111))^INT($AK111/12)*(1-MIN(1,24/$V111)*MOD($AK111,12)/12))),IF($W111="SYD",IF(N($V111)&lt;=0,0,($S111-N($U111))*(INT(MIN($AK111,$V111)/12)*(2*($V111/12)-INT(MIN($AK111,$V111)/12)+1)/2+MOD(MIN($AK111,$V111),12)/12*(($V111/12)-INT(MIN($AK111,$V111)/12)))/(($V111/12)*(($V111/12)+1)/2)),0))))),2))</f>
        <v/>
      </c>
      <c r="AM111" s="23">
        <f>IF($X111="","",$X111-$AL111)</f>
        <v/>
      </c>
      <c r="AN111" s="23">
        <f>IF(OR($AH111="",$Y111=""),"",N($AI111)-$Y111)</f>
        <v/>
      </c>
    </row>
    <row r="112">
      <c r="Q112" s="20" t="n"/>
      <c r="R112" s="20" t="n"/>
      <c r="S112" s="21" t="n"/>
      <c r="U112" s="21" t="n"/>
      <c r="V112" s="22" t="n"/>
      <c r="X112" s="23">
        <f>IF(OR($S112="",$R112=""),"",ROUND(MAX(0,IF($W112="Straight-line",IF(N($V112)&lt;=0,0,($S112-N($U112))*MIN($AJ112,$V112)/$V112),IF($W112="Reducing balance",MIN(($S112-N($U112)),$S112-$S112*(1-N($AG112))^INT($AJ112/12)*(1-N($AG112)*MOD($AJ112,12)/12)),IF($W112="DDB",IF(N($V112)&lt;=0,0,MIN(($S112-N($U112)),$S112-$S112*(1-MIN(1,24/$V112))^INT($AJ112/12)*(1-MIN(1,24/$V112)*MOD($AJ112,12)/12))),IF($W112="SYD",IF(N($V112)&lt;=0,0,($S112-N($U112))*(INT(MIN($AJ112,$V112)/12)*(2*($V112/12)-INT(MIN($AJ112,$V112)/12)+1)/2+MOD(MIN($AJ112,$V112),12)/12*(($V112/12)-INT(MIN($AJ112,$V112)/12)))/(($V112/12)*(($V112/12)+1)/2)),0))))),2))</f>
        <v/>
      </c>
      <c r="Y112" s="23">
        <f>IF($X112="","",$S112-$X112)</f>
        <v/>
      </c>
      <c r="AD112" s="20" t="n"/>
      <c r="AG112" s="24" t="n"/>
      <c r="AH112" s="20" t="n"/>
      <c r="AI112" s="21" t="n"/>
      <c r="AJ112" s="25">
        <f>IF($R112="","",IF($R112&gt;IF($AH112&lt;&gt;"",MIN($AH112,Settings!$B$3),Settings!$B$3),0,(YEAR(IF($AH112&lt;&gt;"",MIN($AH112,Settings!$B$3),Settings!$B$3))-YEAR($R112))*12+MONTH(IF($AH112&lt;&gt;"",MIN($AH112,Settings!$B$3),Settings!$B$3))-MONTH($R112)+1))</f>
        <v/>
      </c>
      <c r="AK112" s="25">
        <f>IF($R112="","",IF($R112&gt;MIN(Settings!$B$4-1,IF($AH112&lt;&gt;"",MIN($AH112,Settings!$B$3),Settings!$B$3)),0,(YEAR(MIN(Settings!$B$4-1,IF($AH112&lt;&gt;"",MIN($AH112,Settings!$B$3),Settings!$B$3)))-YEAR($R112))*12+MONTH(MIN(Settings!$B$4-1,IF($AH112&lt;&gt;"",MIN($AH112,Settings!$B$3),Settings!$B$3)))-MONTH($R112)+1))</f>
        <v/>
      </c>
      <c r="AL112" s="23">
        <f>IF(OR($S112="",$R112=""),"",ROUND(MAX(0,IF($W112="Straight-line",IF(N($V112)&lt;=0,0,($S112-N($U112))*MIN($AK112,$V112)/$V112),IF($W112="Reducing balance",MIN(($S112-N($U112)),$S112-$S112*(1-N($AG112))^INT($AK112/12)*(1-N($AG112)*MOD($AK112,12)/12)),IF($W112="DDB",IF(N($V112)&lt;=0,0,MIN(($S112-N($U112)),$S112-$S112*(1-MIN(1,24/$V112))^INT($AK112/12)*(1-MIN(1,24/$V112)*MOD($AK112,12)/12))),IF($W112="SYD",IF(N($V112)&lt;=0,0,($S112-N($U112))*(INT(MIN($AK112,$V112)/12)*(2*($V112/12)-INT(MIN($AK112,$V112)/12)+1)/2+MOD(MIN($AK112,$V112),12)/12*(($V112/12)-INT(MIN($AK112,$V112)/12)))/(($V112/12)*(($V112/12)+1)/2)),0))))),2))</f>
        <v/>
      </c>
      <c r="AM112" s="23">
        <f>IF($X112="","",$X112-$AL112)</f>
        <v/>
      </c>
      <c r="AN112" s="23">
        <f>IF(OR($AH112="",$Y112=""),"",N($AI112)-$Y112)</f>
        <v/>
      </c>
    </row>
    <row r="113">
      <c r="Q113" s="20" t="n"/>
      <c r="R113" s="20" t="n"/>
      <c r="S113" s="21" t="n"/>
      <c r="U113" s="21" t="n"/>
      <c r="V113" s="22" t="n"/>
      <c r="X113" s="23">
        <f>IF(OR($S113="",$R113=""),"",ROUND(MAX(0,IF($W113="Straight-line",IF(N($V113)&lt;=0,0,($S113-N($U113))*MIN($AJ113,$V113)/$V113),IF($W113="Reducing balance",MIN(($S113-N($U113)),$S113-$S113*(1-N($AG113))^INT($AJ113/12)*(1-N($AG113)*MOD($AJ113,12)/12)),IF($W113="DDB",IF(N($V113)&lt;=0,0,MIN(($S113-N($U113)),$S113-$S113*(1-MIN(1,24/$V113))^INT($AJ113/12)*(1-MIN(1,24/$V113)*MOD($AJ113,12)/12))),IF($W113="SYD",IF(N($V113)&lt;=0,0,($S113-N($U113))*(INT(MIN($AJ113,$V113)/12)*(2*($V113/12)-INT(MIN($AJ113,$V113)/12)+1)/2+MOD(MIN($AJ113,$V113),12)/12*(($V113/12)-INT(MIN($AJ113,$V113)/12)))/(($V113/12)*(($V113/12)+1)/2)),0))))),2))</f>
        <v/>
      </c>
      <c r="Y113" s="23">
        <f>IF($X113="","",$S113-$X113)</f>
        <v/>
      </c>
      <c r="AD113" s="20" t="n"/>
      <c r="AG113" s="24" t="n"/>
      <c r="AH113" s="20" t="n"/>
      <c r="AI113" s="21" t="n"/>
      <c r="AJ113" s="25">
        <f>IF($R113="","",IF($R113&gt;IF($AH113&lt;&gt;"",MIN($AH113,Settings!$B$3),Settings!$B$3),0,(YEAR(IF($AH113&lt;&gt;"",MIN($AH113,Settings!$B$3),Settings!$B$3))-YEAR($R113))*12+MONTH(IF($AH113&lt;&gt;"",MIN($AH113,Settings!$B$3),Settings!$B$3))-MONTH($R113)+1))</f>
        <v/>
      </c>
      <c r="AK113" s="25">
        <f>IF($R113="","",IF($R113&gt;MIN(Settings!$B$4-1,IF($AH113&lt;&gt;"",MIN($AH113,Settings!$B$3),Settings!$B$3)),0,(YEAR(MIN(Settings!$B$4-1,IF($AH113&lt;&gt;"",MIN($AH113,Settings!$B$3),Settings!$B$3)))-YEAR($R113))*12+MONTH(MIN(Settings!$B$4-1,IF($AH113&lt;&gt;"",MIN($AH113,Settings!$B$3),Settings!$B$3)))-MONTH($R113)+1))</f>
        <v/>
      </c>
      <c r="AL113" s="23">
        <f>IF(OR($S113="",$R113=""),"",ROUND(MAX(0,IF($W113="Straight-line",IF(N($V113)&lt;=0,0,($S113-N($U113))*MIN($AK113,$V113)/$V113),IF($W113="Reducing balance",MIN(($S113-N($U113)),$S113-$S113*(1-N($AG113))^INT($AK113/12)*(1-N($AG113)*MOD($AK113,12)/12)),IF($W113="DDB",IF(N($V113)&lt;=0,0,MIN(($S113-N($U113)),$S113-$S113*(1-MIN(1,24/$V113))^INT($AK113/12)*(1-MIN(1,24/$V113)*MOD($AK113,12)/12))),IF($W113="SYD",IF(N($V113)&lt;=0,0,($S113-N($U113))*(INT(MIN($AK113,$V113)/12)*(2*($V113/12)-INT(MIN($AK113,$V113)/12)+1)/2+MOD(MIN($AK113,$V113),12)/12*(($V113/12)-INT(MIN($AK113,$V113)/12)))/(($V113/12)*(($V113/12)+1)/2)),0))))),2))</f>
        <v/>
      </c>
      <c r="AM113" s="23">
        <f>IF($X113="","",$X113-$AL113)</f>
        <v/>
      </c>
      <c r="AN113" s="23">
        <f>IF(OR($AH113="",$Y113=""),"",N($AI113)-$Y113)</f>
        <v/>
      </c>
    </row>
    <row r="114">
      <c r="Q114" s="20" t="n"/>
      <c r="R114" s="20" t="n"/>
      <c r="S114" s="21" t="n"/>
      <c r="U114" s="21" t="n"/>
      <c r="V114" s="22" t="n"/>
      <c r="X114" s="23">
        <f>IF(OR($S114="",$R114=""),"",ROUND(MAX(0,IF($W114="Straight-line",IF(N($V114)&lt;=0,0,($S114-N($U114))*MIN($AJ114,$V114)/$V114),IF($W114="Reducing balance",MIN(($S114-N($U114)),$S114-$S114*(1-N($AG114))^INT($AJ114/12)*(1-N($AG114)*MOD($AJ114,12)/12)),IF($W114="DDB",IF(N($V114)&lt;=0,0,MIN(($S114-N($U114)),$S114-$S114*(1-MIN(1,24/$V114))^INT($AJ114/12)*(1-MIN(1,24/$V114)*MOD($AJ114,12)/12))),IF($W114="SYD",IF(N($V114)&lt;=0,0,($S114-N($U114))*(INT(MIN($AJ114,$V114)/12)*(2*($V114/12)-INT(MIN($AJ114,$V114)/12)+1)/2+MOD(MIN($AJ114,$V114),12)/12*(($V114/12)-INT(MIN($AJ114,$V114)/12)))/(($V114/12)*(($V114/12)+1)/2)),0))))),2))</f>
        <v/>
      </c>
      <c r="Y114" s="23">
        <f>IF($X114="","",$S114-$X114)</f>
        <v/>
      </c>
      <c r="AD114" s="20" t="n"/>
      <c r="AG114" s="24" t="n"/>
      <c r="AH114" s="20" t="n"/>
      <c r="AI114" s="21" t="n"/>
      <c r="AJ114" s="25">
        <f>IF($R114="","",IF($R114&gt;IF($AH114&lt;&gt;"",MIN($AH114,Settings!$B$3),Settings!$B$3),0,(YEAR(IF($AH114&lt;&gt;"",MIN($AH114,Settings!$B$3),Settings!$B$3))-YEAR($R114))*12+MONTH(IF($AH114&lt;&gt;"",MIN($AH114,Settings!$B$3),Settings!$B$3))-MONTH($R114)+1))</f>
        <v/>
      </c>
      <c r="AK114" s="25">
        <f>IF($R114="","",IF($R114&gt;MIN(Settings!$B$4-1,IF($AH114&lt;&gt;"",MIN($AH114,Settings!$B$3),Settings!$B$3)),0,(YEAR(MIN(Settings!$B$4-1,IF($AH114&lt;&gt;"",MIN($AH114,Settings!$B$3),Settings!$B$3)))-YEAR($R114))*12+MONTH(MIN(Settings!$B$4-1,IF($AH114&lt;&gt;"",MIN($AH114,Settings!$B$3),Settings!$B$3)))-MONTH($R114)+1))</f>
        <v/>
      </c>
      <c r="AL114" s="23">
        <f>IF(OR($S114="",$R114=""),"",ROUND(MAX(0,IF($W114="Straight-line",IF(N($V114)&lt;=0,0,($S114-N($U114))*MIN($AK114,$V114)/$V114),IF($W114="Reducing balance",MIN(($S114-N($U114)),$S114-$S114*(1-N($AG114))^INT($AK114/12)*(1-N($AG114)*MOD($AK114,12)/12)),IF($W114="DDB",IF(N($V114)&lt;=0,0,MIN(($S114-N($U114)),$S114-$S114*(1-MIN(1,24/$V114))^INT($AK114/12)*(1-MIN(1,24/$V114)*MOD($AK114,12)/12))),IF($W114="SYD",IF(N($V114)&lt;=0,0,($S114-N($U114))*(INT(MIN($AK114,$V114)/12)*(2*($V114/12)-INT(MIN($AK114,$V114)/12)+1)/2+MOD(MIN($AK114,$V114),12)/12*(($V114/12)-INT(MIN($AK114,$V114)/12)))/(($V114/12)*(($V114/12)+1)/2)),0))))),2))</f>
        <v/>
      </c>
      <c r="AM114" s="23">
        <f>IF($X114="","",$X114-$AL114)</f>
        <v/>
      </c>
      <c r="AN114" s="23">
        <f>IF(OR($AH114="",$Y114=""),"",N($AI114)-$Y114)</f>
        <v/>
      </c>
    </row>
    <row r="115">
      <c r="Q115" s="20" t="n"/>
      <c r="R115" s="20" t="n"/>
      <c r="S115" s="21" t="n"/>
      <c r="U115" s="21" t="n"/>
      <c r="V115" s="22" t="n"/>
      <c r="X115" s="23">
        <f>IF(OR($S115="",$R115=""),"",ROUND(MAX(0,IF($W115="Straight-line",IF(N($V115)&lt;=0,0,($S115-N($U115))*MIN($AJ115,$V115)/$V115),IF($W115="Reducing balance",MIN(($S115-N($U115)),$S115-$S115*(1-N($AG115))^INT($AJ115/12)*(1-N($AG115)*MOD($AJ115,12)/12)),IF($W115="DDB",IF(N($V115)&lt;=0,0,MIN(($S115-N($U115)),$S115-$S115*(1-MIN(1,24/$V115))^INT($AJ115/12)*(1-MIN(1,24/$V115)*MOD($AJ115,12)/12))),IF($W115="SYD",IF(N($V115)&lt;=0,0,($S115-N($U115))*(INT(MIN($AJ115,$V115)/12)*(2*($V115/12)-INT(MIN($AJ115,$V115)/12)+1)/2+MOD(MIN($AJ115,$V115),12)/12*(($V115/12)-INT(MIN($AJ115,$V115)/12)))/(($V115/12)*(($V115/12)+1)/2)),0))))),2))</f>
        <v/>
      </c>
      <c r="Y115" s="23">
        <f>IF($X115="","",$S115-$X115)</f>
        <v/>
      </c>
      <c r="AD115" s="20" t="n"/>
      <c r="AG115" s="24" t="n"/>
      <c r="AH115" s="20" t="n"/>
      <c r="AI115" s="21" t="n"/>
      <c r="AJ115" s="25">
        <f>IF($R115="","",IF($R115&gt;IF($AH115&lt;&gt;"",MIN($AH115,Settings!$B$3),Settings!$B$3),0,(YEAR(IF($AH115&lt;&gt;"",MIN($AH115,Settings!$B$3),Settings!$B$3))-YEAR($R115))*12+MONTH(IF($AH115&lt;&gt;"",MIN($AH115,Settings!$B$3),Settings!$B$3))-MONTH($R115)+1))</f>
        <v/>
      </c>
      <c r="AK115" s="25">
        <f>IF($R115="","",IF($R115&gt;MIN(Settings!$B$4-1,IF($AH115&lt;&gt;"",MIN($AH115,Settings!$B$3),Settings!$B$3)),0,(YEAR(MIN(Settings!$B$4-1,IF($AH115&lt;&gt;"",MIN($AH115,Settings!$B$3),Settings!$B$3)))-YEAR($R115))*12+MONTH(MIN(Settings!$B$4-1,IF($AH115&lt;&gt;"",MIN($AH115,Settings!$B$3),Settings!$B$3)))-MONTH($R115)+1))</f>
        <v/>
      </c>
      <c r="AL115" s="23">
        <f>IF(OR($S115="",$R115=""),"",ROUND(MAX(0,IF($W115="Straight-line",IF(N($V115)&lt;=0,0,($S115-N($U115))*MIN($AK115,$V115)/$V115),IF($W115="Reducing balance",MIN(($S115-N($U115)),$S115-$S115*(1-N($AG115))^INT($AK115/12)*(1-N($AG115)*MOD($AK115,12)/12)),IF($W115="DDB",IF(N($V115)&lt;=0,0,MIN(($S115-N($U115)),$S115-$S115*(1-MIN(1,24/$V115))^INT($AK115/12)*(1-MIN(1,24/$V115)*MOD($AK115,12)/12))),IF($W115="SYD",IF(N($V115)&lt;=0,0,($S115-N($U115))*(INT(MIN($AK115,$V115)/12)*(2*($V115/12)-INT(MIN($AK115,$V115)/12)+1)/2+MOD(MIN($AK115,$V115),12)/12*(($V115/12)-INT(MIN($AK115,$V115)/12)))/(($V115/12)*(($V115/12)+1)/2)),0))))),2))</f>
        <v/>
      </c>
      <c r="AM115" s="23">
        <f>IF($X115="","",$X115-$AL115)</f>
        <v/>
      </c>
      <c r="AN115" s="23">
        <f>IF(OR($AH115="",$Y115=""),"",N($AI115)-$Y115)</f>
        <v/>
      </c>
    </row>
    <row r="116">
      <c r="Q116" s="20" t="n"/>
      <c r="R116" s="20" t="n"/>
      <c r="S116" s="21" t="n"/>
      <c r="U116" s="21" t="n"/>
      <c r="V116" s="22" t="n"/>
      <c r="X116" s="23">
        <f>IF(OR($S116="",$R116=""),"",ROUND(MAX(0,IF($W116="Straight-line",IF(N($V116)&lt;=0,0,($S116-N($U116))*MIN($AJ116,$V116)/$V116),IF($W116="Reducing balance",MIN(($S116-N($U116)),$S116-$S116*(1-N($AG116))^INT($AJ116/12)*(1-N($AG116)*MOD($AJ116,12)/12)),IF($W116="DDB",IF(N($V116)&lt;=0,0,MIN(($S116-N($U116)),$S116-$S116*(1-MIN(1,24/$V116))^INT($AJ116/12)*(1-MIN(1,24/$V116)*MOD($AJ116,12)/12))),IF($W116="SYD",IF(N($V116)&lt;=0,0,($S116-N($U116))*(INT(MIN($AJ116,$V116)/12)*(2*($V116/12)-INT(MIN($AJ116,$V116)/12)+1)/2+MOD(MIN($AJ116,$V116),12)/12*(($V116/12)-INT(MIN($AJ116,$V116)/12)))/(($V116/12)*(($V116/12)+1)/2)),0))))),2))</f>
        <v/>
      </c>
      <c r="Y116" s="23">
        <f>IF($X116="","",$S116-$X116)</f>
        <v/>
      </c>
      <c r="AD116" s="20" t="n"/>
      <c r="AG116" s="24" t="n"/>
      <c r="AH116" s="20" t="n"/>
      <c r="AI116" s="21" t="n"/>
      <c r="AJ116" s="25">
        <f>IF($R116="","",IF($R116&gt;IF($AH116&lt;&gt;"",MIN($AH116,Settings!$B$3),Settings!$B$3),0,(YEAR(IF($AH116&lt;&gt;"",MIN($AH116,Settings!$B$3),Settings!$B$3))-YEAR($R116))*12+MONTH(IF($AH116&lt;&gt;"",MIN($AH116,Settings!$B$3),Settings!$B$3))-MONTH($R116)+1))</f>
        <v/>
      </c>
      <c r="AK116" s="25">
        <f>IF($R116="","",IF($R116&gt;MIN(Settings!$B$4-1,IF($AH116&lt;&gt;"",MIN($AH116,Settings!$B$3),Settings!$B$3)),0,(YEAR(MIN(Settings!$B$4-1,IF($AH116&lt;&gt;"",MIN($AH116,Settings!$B$3),Settings!$B$3)))-YEAR($R116))*12+MONTH(MIN(Settings!$B$4-1,IF($AH116&lt;&gt;"",MIN($AH116,Settings!$B$3),Settings!$B$3)))-MONTH($R116)+1))</f>
        <v/>
      </c>
      <c r="AL116" s="23">
        <f>IF(OR($S116="",$R116=""),"",ROUND(MAX(0,IF($W116="Straight-line",IF(N($V116)&lt;=0,0,($S116-N($U116))*MIN($AK116,$V116)/$V116),IF($W116="Reducing balance",MIN(($S116-N($U116)),$S116-$S116*(1-N($AG116))^INT($AK116/12)*(1-N($AG116)*MOD($AK116,12)/12)),IF($W116="DDB",IF(N($V116)&lt;=0,0,MIN(($S116-N($U116)),$S116-$S116*(1-MIN(1,24/$V116))^INT($AK116/12)*(1-MIN(1,24/$V116)*MOD($AK116,12)/12))),IF($W116="SYD",IF(N($V116)&lt;=0,0,($S116-N($U116))*(INT(MIN($AK116,$V116)/12)*(2*($V116/12)-INT(MIN($AK116,$V116)/12)+1)/2+MOD(MIN($AK116,$V116),12)/12*(($V116/12)-INT(MIN($AK116,$V116)/12)))/(($V116/12)*(($V116/12)+1)/2)),0))))),2))</f>
        <v/>
      </c>
      <c r="AM116" s="23">
        <f>IF($X116="","",$X116-$AL116)</f>
        <v/>
      </c>
      <c r="AN116" s="23">
        <f>IF(OR($AH116="",$Y116=""),"",N($AI116)-$Y116)</f>
        <v/>
      </c>
    </row>
    <row r="117">
      <c r="Q117" s="20" t="n"/>
      <c r="R117" s="20" t="n"/>
      <c r="S117" s="21" t="n"/>
      <c r="U117" s="21" t="n"/>
      <c r="V117" s="22" t="n"/>
      <c r="X117" s="23">
        <f>IF(OR($S117="",$R117=""),"",ROUND(MAX(0,IF($W117="Straight-line",IF(N($V117)&lt;=0,0,($S117-N($U117))*MIN($AJ117,$V117)/$V117),IF($W117="Reducing balance",MIN(($S117-N($U117)),$S117-$S117*(1-N($AG117))^INT($AJ117/12)*(1-N($AG117)*MOD($AJ117,12)/12)),IF($W117="DDB",IF(N($V117)&lt;=0,0,MIN(($S117-N($U117)),$S117-$S117*(1-MIN(1,24/$V117))^INT($AJ117/12)*(1-MIN(1,24/$V117)*MOD($AJ117,12)/12))),IF($W117="SYD",IF(N($V117)&lt;=0,0,($S117-N($U117))*(INT(MIN($AJ117,$V117)/12)*(2*($V117/12)-INT(MIN($AJ117,$V117)/12)+1)/2+MOD(MIN($AJ117,$V117),12)/12*(($V117/12)-INT(MIN($AJ117,$V117)/12)))/(($V117/12)*(($V117/12)+1)/2)),0))))),2))</f>
        <v/>
      </c>
      <c r="Y117" s="23">
        <f>IF($X117="","",$S117-$X117)</f>
        <v/>
      </c>
      <c r="AD117" s="20" t="n"/>
      <c r="AG117" s="24" t="n"/>
      <c r="AH117" s="20" t="n"/>
      <c r="AI117" s="21" t="n"/>
      <c r="AJ117" s="25">
        <f>IF($R117="","",IF($R117&gt;IF($AH117&lt;&gt;"",MIN($AH117,Settings!$B$3),Settings!$B$3),0,(YEAR(IF($AH117&lt;&gt;"",MIN($AH117,Settings!$B$3),Settings!$B$3))-YEAR($R117))*12+MONTH(IF($AH117&lt;&gt;"",MIN($AH117,Settings!$B$3),Settings!$B$3))-MONTH($R117)+1))</f>
        <v/>
      </c>
      <c r="AK117" s="25">
        <f>IF($R117="","",IF($R117&gt;MIN(Settings!$B$4-1,IF($AH117&lt;&gt;"",MIN($AH117,Settings!$B$3),Settings!$B$3)),0,(YEAR(MIN(Settings!$B$4-1,IF($AH117&lt;&gt;"",MIN($AH117,Settings!$B$3),Settings!$B$3)))-YEAR($R117))*12+MONTH(MIN(Settings!$B$4-1,IF($AH117&lt;&gt;"",MIN($AH117,Settings!$B$3),Settings!$B$3)))-MONTH($R117)+1))</f>
        <v/>
      </c>
      <c r="AL117" s="23">
        <f>IF(OR($S117="",$R117=""),"",ROUND(MAX(0,IF($W117="Straight-line",IF(N($V117)&lt;=0,0,($S117-N($U117))*MIN($AK117,$V117)/$V117),IF($W117="Reducing balance",MIN(($S117-N($U117)),$S117-$S117*(1-N($AG117))^INT($AK117/12)*(1-N($AG117)*MOD($AK117,12)/12)),IF($W117="DDB",IF(N($V117)&lt;=0,0,MIN(($S117-N($U117)),$S117-$S117*(1-MIN(1,24/$V117))^INT($AK117/12)*(1-MIN(1,24/$V117)*MOD($AK117,12)/12))),IF($W117="SYD",IF(N($V117)&lt;=0,0,($S117-N($U117))*(INT(MIN($AK117,$V117)/12)*(2*($V117/12)-INT(MIN($AK117,$V117)/12)+1)/2+MOD(MIN($AK117,$V117),12)/12*(($V117/12)-INT(MIN($AK117,$V117)/12)))/(($V117/12)*(($V117/12)+1)/2)),0))))),2))</f>
        <v/>
      </c>
      <c r="AM117" s="23">
        <f>IF($X117="","",$X117-$AL117)</f>
        <v/>
      </c>
      <c r="AN117" s="23">
        <f>IF(OR($AH117="",$Y117=""),"",N($AI117)-$Y117)</f>
        <v/>
      </c>
    </row>
    <row r="118">
      <c r="Q118" s="20" t="n"/>
      <c r="R118" s="20" t="n"/>
      <c r="S118" s="21" t="n"/>
      <c r="U118" s="21" t="n"/>
      <c r="V118" s="22" t="n"/>
      <c r="X118" s="23">
        <f>IF(OR($S118="",$R118=""),"",ROUND(MAX(0,IF($W118="Straight-line",IF(N($V118)&lt;=0,0,($S118-N($U118))*MIN($AJ118,$V118)/$V118),IF($W118="Reducing balance",MIN(($S118-N($U118)),$S118-$S118*(1-N($AG118))^INT($AJ118/12)*(1-N($AG118)*MOD($AJ118,12)/12)),IF($W118="DDB",IF(N($V118)&lt;=0,0,MIN(($S118-N($U118)),$S118-$S118*(1-MIN(1,24/$V118))^INT($AJ118/12)*(1-MIN(1,24/$V118)*MOD($AJ118,12)/12))),IF($W118="SYD",IF(N($V118)&lt;=0,0,($S118-N($U118))*(INT(MIN($AJ118,$V118)/12)*(2*($V118/12)-INT(MIN($AJ118,$V118)/12)+1)/2+MOD(MIN($AJ118,$V118),12)/12*(($V118/12)-INT(MIN($AJ118,$V118)/12)))/(($V118/12)*(($V118/12)+1)/2)),0))))),2))</f>
        <v/>
      </c>
      <c r="Y118" s="23">
        <f>IF($X118="","",$S118-$X118)</f>
        <v/>
      </c>
      <c r="AD118" s="20" t="n"/>
      <c r="AG118" s="24" t="n"/>
      <c r="AH118" s="20" t="n"/>
      <c r="AI118" s="21" t="n"/>
      <c r="AJ118" s="25">
        <f>IF($R118="","",IF($R118&gt;IF($AH118&lt;&gt;"",MIN($AH118,Settings!$B$3),Settings!$B$3),0,(YEAR(IF($AH118&lt;&gt;"",MIN($AH118,Settings!$B$3),Settings!$B$3))-YEAR($R118))*12+MONTH(IF($AH118&lt;&gt;"",MIN($AH118,Settings!$B$3),Settings!$B$3))-MONTH($R118)+1))</f>
        <v/>
      </c>
      <c r="AK118" s="25">
        <f>IF($R118="","",IF($R118&gt;MIN(Settings!$B$4-1,IF($AH118&lt;&gt;"",MIN($AH118,Settings!$B$3),Settings!$B$3)),0,(YEAR(MIN(Settings!$B$4-1,IF($AH118&lt;&gt;"",MIN($AH118,Settings!$B$3),Settings!$B$3)))-YEAR($R118))*12+MONTH(MIN(Settings!$B$4-1,IF($AH118&lt;&gt;"",MIN($AH118,Settings!$B$3),Settings!$B$3)))-MONTH($R118)+1))</f>
        <v/>
      </c>
      <c r="AL118" s="23">
        <f>IF(OR($S118="",$R118=""),"",ROUND(MAX(0,IF($W118="Straight-line",IF(N($V118)&lt;=0,0,($S118-N($U118))*MIN($AK118,$V118)/$V118),IF($W118="Reducing balance",MIN(($S118-N($U118)),$S118-$S118*(1-N($AG118))^INT($AK118/12)*(1-N($AG118)*MOD($AK118,12)/12)),IF($W118="DDB",IF(N($V118)&lt;=0,0,MIN(($S118-N($U118)),$S118-$S118*(1-MIN(1,24/$V118))^INT($AK118/12)*(1-MIN(1,24/$V118)*MOD($AK118,12)/12))),IF($W118="SYD",IF(N($V118)&lt;=0,0,($S118-N($U118))*(INT(MIN($AK118,$V118)/12)*(2*($V118/12)-INT(MIN($AK118,$V118)/12)+1)/2+MOD(MIN($AK118,$V118),12)/12*(($V118/12)-INT(MIN($AK118,$V118)/12)))/(($V118/12)*(($V118/12)+1)/2)),0))))),2))</f>
        <v/>
      </c>
      <c r="AM118" s="23">
        <f>IF($X118="","",$X118-$AL118)</f>
        <v/>
      </c>
      <c r="AN118" s="23">
        <f>IF(OR($AH118="",$Y118=""),"",N($AI118)-$Y118)</f>
        <v/>
      </c>
    </row>
    <row r="119">
      <c r="Q119" s="20" t="n"/>
      <c r="R119" s="20" t="n"/>
      <c r="S119" s="21" t="n"/>
      <c r="U119" s="21" t="n"/>
      <c r="V119" s="22" t="n"/>
      <c r="X119" s="23">
        <f>IF(OR($S119="",$R119=""),"",ROUND(MAX(0,IF($W119="Straight-line",IF(N($V119)&lt;=0,0,($S119-N($U119))*MIN($AJ119,$V119)/$V119),IF($W119="Reducing balance",MIN(($S119-N($U119)),$S119-$S119*(1-N($AG119))^INT($AJ119/12)*(1-N($AG119)*MOD($AJ119,12)/12)),IF($W119="DDB",IF(N($V119)&lt;=0,0,MIN(($S119-N($U119)),$S119-$S119*(1-MIN(1,24/$V119))^INT($AJ119/12)*(1-MIN(1,24/$V119)*MOD($AJ119,12)/12))),IF($W119="SYD",IF(N($V119)&lt;=0,0,($S119-N($U119))*(INT(MIN($AJ119,$V119)/12)*(2*($V119/12)-INT(MIN($AJ119,$V119)/12)+1)/2+MOD(MIN($AJ119,$V119),12)/12*(($V119/12)-INT(MIN($AJ119,$V119)/12)))/(($V119/12)*(($V119/12)+1)/2)),0))))),2))</f>
        <v/>
      </c>
      <c r="Y119" s="23">
        <f>IF($X119="","",$S119-$X119)</f>
        <v/>
      </c>
      <c r="AD119" s="20" t="n"/>
      <c r="AG119" s="24" t="n"/>
      <c r="AH119" s="20" t="n"/>
      <c r="AI119" s="21" t="n"/>
      <c r="AJ119" s="25">
        <f>IF($R119="","",IF($R119&gt;IF($AH119&lt;&gt;"",MIN($AH119,Settings!$B$3),Settings!$B$3),0,(YEAR(IF($AH119&lt;&gt;"",MIN($AH119,Settings!$B$3),Settings!$B$3))-YEAR($R119))*12+MONTH(IF($AH119&lt;&gt;"",MIN($AH119,Settings!$B$3),Settings!$B$3))-MONTH($R119)+1))</f>
        <v/>
      </c>
      <c r="AK119" s="25">
        <f>IF($R119="","",IF($R119&gt;MIN(Settings!$B$4-1,IF($AH119&lt;&gt;"",MIN($AH119,Settings!$B$3),Settings!$B$3)),0,(YEAR(MIN(Settings!$B$4-1,IF($AH119&lt;&gt;"",MIN($AH119,Settings!$B$3),Settings!$B$3)))-YEAR($R119))*12+MONTH(MIN(Settings!$B$4-1,IF($AH119&lt;&gt;"",MIN($AH119,Settings!$B$3),Settings!$B$3)))-MONTH($R119)+1))</f>
        <v/>
      </c>
      <c r="AL119" s="23">
        <f>IF(OR($S119="",$R119=""),"",ROUND(MAX(0,IF($W119="Straight-line",IF(N($V119)&lt;=0,0,($S119-N($U119))*MIN($AK119,$V119)/$V119),IF($W119="Reducing balance",MIN(($S119-N($U119)),$S119-$S119*(1-N($AG119))^INT($AK119/12)*(1-N($AG119)*MOD($AK119,12)/12)),IF($W119="DDB",IF(N($V119)&lt;=0,0,MIN(($S119-N($U119)),$S119-$S119*(1-MIN(1,24/$V119))^INT($AK119/12)*(1-MIN(1,24/$V119)*MOD($AK119,12)/12))),IF($W119="SYD",IF(N($V119)&lt;=0,0,($S119-N($U119))*(INT(MIN($AK119,$V119)/12)*(2*($V119/12)-INT(MIN($AK119,$V119)/12)+1)/2+MOD(MIN($AK119,$V119),12)/12*(($V119/12)-INT(MIN($AK119,$V119)/12)))/(($V119/12)*(($V119/12)+1)/2)),0))))),2))</f>
        <v/>
      </c>
      <c r="AM119" s="23">
        <f>IF($X119="","",$X119-$AL119)</f>
        <v/>
      </c>
      <c r="AN119" s="23">
        <f>IF(OR($AH119="",$Y119=""),"",N($AI119)-$Y119)</f>
        <v/>
      </c>
    </row>
    <row r="120">
      <c r="Q120" s="20" t="n"/>
      <c r="R120" s="20" t="n"/>
      <c r="S120" s="21" t="n"/>
      <c r="U120" s="21" t="n"/>
      <c r="V120" s="22" t="n"/>
      <c r="X120" s="23">
        <f>IF(OR($S120="",$R120=""),"",ROUND(MAX(0,IF($W120="Straight-line",IF(N($V120)&lt;=0,0,($S120-N($U120))*MIN($AJ120,$V120)/$V120),IF($W120="Reducing balance",MIN(($S120-N($U120)),$S120-$S120*(1-N($AG120))^INT($AJ120/12)*(1-N($AG120)*MOD($AJ120,12)/12)),IF($W120="DDB",IF(N($V120)&lt;=0,0,MIN(($S120-N($U120)),$S120-$S120*(1-MIN(1,24/$V120))^INT($AJ120/12)*(1-MIN(1,24/$V120)*MOD($AJ120,12)/12))),IF($W120="SYD",IF(N($V120)&lt;=0,0,($S120-N($U120))*(INT(MIN($AJ120,$V120)/12)*(2*($V120/12)-INT(MIN($AJ120,$V120)/12)+1)/2+MOD(MIN($AJ120,$V120),12)/12*(($V120/12)-INT(MIN($AJ120,$V120)/12)))/(($V120/12)*(($V120/12)+1)/2)),0))))),2))</f>
        <v/>
      </c>
      <c r="Y120" s="23">
        <f>IF($X120="","",$S120-$X120)</f>
        <v/>
      </c>
      <c r="AD120" s="20" t="n"/>
      <c r="AG120" s="24" t="n"/>
      <c r="AH120" s="20" t="n"/>
      <c r="AI120" s="21" t="n"/>
      <c r="AJ120" s="25">
        <f>IF($R120="","",IF($R120&gt;IF($AH120&lt;&gt;"",MIN($AH120,Settings!$B$3),Settings!$B$3),0,(YEAR(IF($AH120&lt;&gt;"",MIN($AH120,Settings!$B$3),Settings!$B$3))-YEAR($R120))*12+MONTH(IF($AH120&lt;&gt;"",MIN($AH120,Settings!$B$3),Settings!$B$3))-MONTH($R120)+1))</f>
        <v/>
      </c>
      <c r="AK120" s="25">
        <f>IF($R120="","",IF($R120&gt;MIN(Settings!$B$4-1,IF($AH120&lt;&gt;"",MIN($AH120,Settings!$B$3),Settings!$B$3)),0,(YEAR(MIN(Settings!$B$4-1,IF($AH120&lt;&gt;"",MIN($AH120,Settings!$B$3),Settings!$B$3)))-YEAR($R120))*12+MONTH(MIN(Settings!$B$4-1,IF($AH120&lt;&gt;"",MIN($AH120,Settings!$B$3),Settings!$B$3)))-MONTH($R120)+1))</f>
        <v/>
      </c>
      <c r="AL120" s="23">
        <f>IF(OR($S120="",$R120=""),"",ROUND(MAX(0,IF($W120="Straight-line",IF(N($V120)&lt;=0,0,($S120-N($U120))*MIN($AK120,$V120)/$V120),IF($W120="Reducing balance",MIN(($S120-N($U120)),$S120-$S120*(1-N($AG120))^INT($AK120/12)*(1-N($AG120)*MOD($AK120,12)/12)),IF($W120="DDB",IF(N($V120)&lt;=0,0,MIN(($S120-N($U120)),$S120-$S120*(1-MIN(1,24/$V120))^INT($AK120/12)*(1-MIN(1,24/$V120)*MOD($AK120,12)/12))),IF($W120="SYD",IF(N($V120)&lt;=0,0,($S120-N($U120))*(INT(MIN($AK120,$V120)/12)*(2*($V120/12)-INT(MIN($AK120,$V120)/12)+1)/2+MOD(MIN($AK120,$V120),12)/12*(($V120/12)-INT(MIN($AK120,$V120)/12)))/(($V120/12)*(($V120/12)+1)/2)),0))))),2))</f>
        <v/>
      </c>
      <c r="AM120" s="23">
        <f>IF($X120="","",$X120-$AL120)</f>
        <v/>
      </c>
      <c r="AN120" s="23">
        <f>IF(OR($AH120="",$Y120=""),"",N($AI120)-$Y120)</f>
        <v/>
      </c>
    </row>
    <row r="121">
      <c r="Q121" s="20" t="n"/>
      <c r="R121" s="20" t="n"/>
      <c r="S121" s="21" t="n"/>
      <c r="U121" s="21" t="n"/>
      <c r="V121" s="22" t="n"/>
      <c r="X121" s="23">
        <f>IF(OR($S121="",$R121=""),"",ROUND(MAX(0,IF($W121="Straight-line",IF(N($V121)&lt;=0,0,($S121-N($U121))*MIN($AJ121,$V121)/$V121),IF($W121="Reducing balance",MIN(($S121-N($U121)),$S121-$S121*(1-N($AG121))^INT($AJ121/12)*(1-N($AG121)*MOD($AJ121,12)/12)),IF($W121="DDB",IF(N($V121)&lt;=0,0,MIN(($S121-N($U121)),$S121-$S121*(1-MIN(1,24/$V121))^INT($AJ121/12)*(1-MIN(1,24/$V121)*MOD($AJ121,12)/12))),IF($W121="SYD",IF(N($V121)&lt;=0,0,($S121-N($U121))*(INT(MIN($AJ121,$V121)/12)*(2*($V121/12)-INT(MIN($AJ121,$V121)/12)+1)/2+MOD(MIN($AJ121,$V121),12)/12*(($V121/12)-INT(MIN($AJ121,$V121)/12)))/(($V121/12)*(($V121/12)+1)/2)),0))))),2))</f>
        <v/>
      </c>
      <c r="Y121" s="23">
        <f>IF($X121="","",$S121-$X121)</f>
        <v/>
      </c>
      <c r="AD121" s="20" t="n"/>
      <c r="AG121" s="24" t="n"/>
      <c r="AH121" s="20" t="n"/>
      <c r="AI121" s="21" t="n"/>
      <c r="AJ121" s="25">
        <f>IF($R121="","",IF($R121&gt;IF($AH121&lt;&gt;"",MIN($AH121,Settings!$B$3),Settings!$B$3),0,(YEAR(IF($AH121&lt;&gt;"",MIN($AH121,Settings!$B$3),Settings!$B$3))-YEAR($R121))*12+MONTH(IF($AH121&lt;&gt;"",MIN($AH121,Settings!$B$3),Settings!$B$3))-MONTH($R121)+1))</f>
        <v/>
      </c>
      <c r="AK121" s="25">
        <f>IF($R121="","",IF($R121&gt;MIN(Settings!$B$4-1,IF($AH121&lt;&gt;"",MIN($AH121,Settings!$B$3),Settings!$B$3)),0,(YEAR(MIN(Settings!$B$4-1,IF($AH121&lt;&gt;"",MIN($AH121,Settings!$B$3),Settings!$B$3)))-YEAR($R121))*12+MONTH(MIN(Settings!$B$4-1,IF($AH121&lt;&gt;"",MIN($AH121,Settings!$B$3),Settings!$B$3)))-MONTH($R121)+1))</f>
        <v/>
      </c>
      <c r="AL121" s="23">
        <f>IF(OR($S121="",$R121=""),"",ROUND(MAX(0,IF($W121="Straight-line",IF(N($V121)&lt;=0,0,($S121-N($U121))*MIN($AK121,$V121)/$V121),IF($W121="Reducing balance",MIN(($S121-N($U121)),$S121-$S121*(1-N($AG121))^INT($AK121/12)*(1-N($AG121)*MOD($AK121,12)/12)),IF($W121="DDB",IF(N($V121)&lt;=0,0,MIN(($S121-N($U121)),$S121-$S121*(1-MIN(1,24/$V121))^INT($AK121/12)*(1-MIN(1,24/$V121)*MOD($AK121,12)/12))),IF($W121="SYD",IF(N($V121)&lt;=0,0,($S121-N($U121))*(INT(MIN($AK121,$V121)/12)*(2*($V121/12)-INT(MIN($AK121,$V121)/12)+1)/2+MOD(MIN($AK121,$V121),12)/12*(($V121/12)-INT(MIN($AK121,$V121)/12)))/(($V121/12)*(($V121/12)+1)/2)),0))))),2))</f>
        <v/>
      </c>
      <c r="AM121" s="23">
        <f>IF($X121="","",$X121-$AL121)</f>
        <v/>
      </c>
      <c r="AN121" s="23">
        <f>IF(OR($AH121="",$Y121=""),"",N($AI121)-$Y121)</f>
        <v/>
      </c>
    </row>
    <row r="122">
      <c r="Q122" s="20" t="n"/>
      <c r="R122" s="20" t="n"/>
      <c r="S122" s="21" t="n"/>
      <c r="U122" s="21" t="n"/>
      <c r="V122" s="22" t="n"/>
      <c r="X122" s="23">
        <f>IF(OR($S122="",$R122=""),"",ROUND(MAX(0,IF($W122="Straight-line",IF(N($V122)&lt;=0,0,($S122-N($U122))*MIN($AJ122,$V122)/$V122),IF($W122="Reducing balance",MIN(($S122-N($U122)),$S122-$S122*(1-N($AG122))^INT($AJ122/12)*(1-N($AG122)*MOD($AJ122,12)/12)),IF($W122="DDB",IF(N($V122)&lt;=0,0,MIN(($S122-N($U122)),$S122-$S122*(1-MIN(1,24/$V122))^INT($AJ122/12)*(1-MIN(1,24/$V122)*MOD($AJ122,12)/12))),IF($W122="SYD",IF(N($V122)&lt;=0,0,($S122-N($U122))*(INT(MIN($AJ122,$V122)/12)*(2*($V122/12)-INT(MIN($AJ122,$V122)/12)+1)/2+MOD(MIN($AJ122,$V122),12)/12*(($V122/12)-INT(MIN($AJ122,$V122)/12)))/(($V122/12)*(($V122/12)+1)/2)),0))))),2))</f>
        <v/>
      </c>
      <c r="Y122" s="23">
        <f>IF($X122="","",$S122-$X122)</f>
        <v/>
      </c>
      <c r="AD122" s="20" t="n"/>
      <c r="AG122" s="24" t="n"/>
      <c r="AH122" s="20" t="n"/>
      <c r="AI122" s="21" t="n"/>
      <c r="AJ122" s="25">
        <f>IF($R122="","",IF($R122&gt;IF($AH122&lt;&gt;"",MIN($AH122,Settings!$B$3),Settings!$B$3),0,(YEAR(IF($AH122&lt;&gt;"",MIN($AH122,Settings!$B$3),Settings!$B$3))-YEAR($R122))*12+MONTH(IF($AH122&lt;&gt;"",MIN($AH122,Settings!$B$3),Settings!$B$3))-MONTH($R122)+1))</f>
        <v/>
      </c>
      <c r="AK122" s="25">
        <f>IF($R122="","",IF($R122&gt;MIN(Settings!$B$4-1,IF($AH122&lt;&gt;"",MIN($AH122,Settings!$B$3),Settings!$B$3)),0,(YEAR(MIN(Settings!$B$4-1,IF($AH122&lt;&gt;"",MIN($AH122,Settings!$B$3),Settings!$B$3)))-YEAR($R122))*12+MONTH(MIN(Settings!$B$4-1,IF($AH122&lt;&gt;"",MIN($AH122,Settings!$B$3),Settings!$B$3)))-MONTH($R122)+1))</f>
        <v/>
      </c>
      <c r="AL122" s="23">
        <f>IF(OR($S122="",$R122=""),"",ROUND(MAX(0,IF($W122="Straight-line",IF(N($V122)&lt;=0,0,($S122-N($U122))*MIN($AK122,$V122)/$V122),IF($W122="Reducing balance",MIN(($S122-N($U122)),$S122-$S122*(1-N($AG122))^INT($AK122/12)*(1-N($AG122)*MOD($AK122,12)/12)),IF($W122="DDB",IF(N($V122)&lt;=0,0,MIN(($S122-N($U122)),$S122-$S122*(1-MIN(1,24/$V122))^INT($AK122/12)*(1-MIN(1,24/$V122)*MOD($AK122,12)/12))),IF($W122="SYD",IF(N($V122)&lt;=0,0,($S122-N($U122))*(INT(MIN($AK122,$V122)/12)*(2*($V122/12)-INT(MIN($AK122,$V122)/12)+1)/2+MOD(MIN($AK122,$V122),12)/12*(($V122/12)-INT(MIN($AK122,$V122)/12)))/(($V122/12)*(($V122/12)+1)/2)),0))))),2))</f>
        <v/>
      </c>
      <c r="AM122" s="23">
        <f>IF($X122="","",$X122-$AL122)</f>
        <v/>
      </c>
      <c r="AN122" s="23">
        <f>IF(OR($AH122="",$Y122=""),"",N($AI122)-$Y122)</f>
        <v/>
      </c>
    </row>
    <row r="123">
      <c r="Q123" s="20" t="n"/>
      <c r="R123" s="20" t="n"/>
      <c r="S123" s="21" t="n"/>
      <c r="U123" s="21" t="n"/>
      <c r="V123" s="22" t="n"/>
      <c r="X123" s="23">
        <f>IF(OR($S123="",$R123=""),"",ROUND(MAX(0,IF($W123="Straight-line",IF(N($V123)&lt;=0,0,($S123-N($U123))*MIN($AJ123,$V123)/$V123),IF($W123="Reducing balance",MIN(($S123-N($U123)),$S123-$S123*(1-N($AG123))^INT($AJ123/12)*(1-N($AG123)*MOD($AJ123,12)/12)),IF($W123="DDB",IF(N($V123)&lt;=0,0,MIN(($S123-N($U123)),$S123-$S123*(1-MIN(1,24/$V123))^INT($AJ123/12)*(1-MIN(1,24/$V123)*MOD($AJ123,12)/12))),IF($W123="SYD",IF(N($V123)&lt;=0,0,($S123-N($U123))*(INT(MIN($AJ123,$V123)/12)*(2*($V123/12)-INT(MIN($AJ123,$V123)/12)+1)/2+MOD(MIN($AJ123,$V123),12)/12*(($V123/12)-INT(MIN($AJ123,$V123)/12)))/(($V123/12)*(($V123/12)+1)/2)),0))))),2))</f>
        <v/>
      </c>
      <c r="Y123" s="23">
        <f>IF($X123="","",$S123-$X123)</f>
        <v/>
      </c>
      <c r="AD123" s="20" t="n"/>
      <c r="AG123" s="24" t="n"/>
      <c r="AH123" s="20" t="n"/>
      <c r="AI123" s="21" t="n"/>
      <c r="AJ123" s="25">
        <f>IF($R123="","",IF($R123&gt;IF($AH123&lt;&gt;"",MIN($AH123,Settings!$B$3),Settings!$B$3),0,(YEAR(IF($AH123&lt;&gt;"",MIN($AH123,Settings!$B$3),Settings!$B$3))-YEAR($R123))*12+MONTH(IF($AH123&lt;&gt;"",MIN($AH123,Settings!$B$3),Settings!$B$3))-MONTH($R123)+1))</f>
        <v/>
      </c>
      <c r="AK123" s="25">
        <f>IF($R123="","",IF($R123&gt;MIN(Settings!$B$4-1,IF($AH123&lt;&gt;"",MIN($AH123,Settings!$B$3),Settings!$B$3)),0,(YEAR(MIN(Settings!$B$4-1,IF($AH123&lt;&gt;"",MIN($AH123,Settings!$B$3),Settings!$B$3)))-YEAR($R123))*12+MONTH(MIN(Settings!$B$4-1,IF($AH123&lt;&gt;"",MIN($AH123,Settings!$B$3),Settings!$B$3)))-MONTH($R123)+1))</f>
        <v/>
      </c>
      <c r="AL123" s="23">
        <f>IF(OR($S123="",$R123=""),"",ROUND(MAX(0,IF($W123="Straight-line",IF(N($V123)&lt;=0,0,($S123-N($U123))*MIN($AK123,$V123)/$V123),IF($W123="Reducing balance",MIN(($S123-N($U123)),$S123-$S123*(1-N($AG123))^INT($AK123/12)*(1-N($AG123)*MOD($AK123,12)/12)),IF($W123="DDB",IF(N($V123)&lt;=0,0,MIN(($S123-N($U123)),$S123-$S123*(1-MIN(1,24/$V123))^INT($AK123/12)*(1-MIN(1,24/$V123)*MOD($AK123,12)/12))),IF($W123="SYD",IF(N($V123)&lt;=0,0,($S123-N($U123))*(INT(MIN($AK123,$V123)/12)*(2*($V123/12)-INT(MIN($AK123,$V123)/12)+1)/2+MOD(MIN($AK123,$V123),12)/12*(($V123/12)-INT(MIN($AK123,$V123)/12)))/(($V123/12)*(($V123/12)+1)/2)),0))))),2))</f>
        <v/>
      </c>
      <c r="AM123" s="23">
        <f>IF($X123="","",$X123-$AL123)</f>
        <v/>
      </c>
      <c r="AN123" s="23">
        <f>IF(OR($AH123="",$Y123=""),"",N($AI123)-$Y123)</f>
        <v/>
      </c>
    </row>
    <row r="124">
      <c r="Q124" s="20" t="n"/>
      <c r="R124" s="20" t="n"/>
      <c r="S124" s="21" t="n"/>
      <c r="U124" s="21" t="n"/>
      <c r="V124" s="22" t="n"/>
      <c r="X124" s="23">
        <f>IF(OR($S124="",$R124=""),"",ROUND(MAX(0,IF($W124="Straight-line",IF(N($V124)&lt;=0,0,($S124-N($U124))*MIN($AJ124,$V124)/$V124),IF($W124="Reducing balance",MIN(($S124-N($U124)),$S124-$S124*(1-N($AG124))^INT($AJ124/12)*(1-N($AG124)*MOD($AJ124,12)/12)),IF($W124="DDB",IF(N($V124)&lt;=0,0,MIN(($S124-N($U124)),$S124-$S124*(1-MIN(1,24/$V124))^INT($AJ124/12)*(1-MIN(1,24/$V124)*MOD($AJ124,12)/12))),IF($W124="SYD",IF(N($V124)&lt;=0,0,($S124-N($U124))*(INT(MIN($AJ124,$V124)/12)*(2*($V124/12)-INT(MIN($AJ124,$V124)/12)+1)/2+MOD(MIN($AJ124,$V124),12)/12*(($V124/12)-INT(MIN($AJ124,$V124)/12)))/(($V124/12)*(($V124/12)+1)/2)),0))))),2))</f>
        <v/>
      </c>
      <c r="Y124" s="23">
        <f>IF($X124="","",$S124-$X124)</f>
        <v/>
      </c>
      <c r="AD124" s="20" t="n"/>
      <c r="AG124" s="24" t="n"/>
      <c r="AH124" s="20" t="n"/>
      <c r="AI124" s="21" t="n"/>
      <c r="AJ124" s="25">
        <f>IF($R124="","",IF($R124&gt;IF($AH124&lt;&gt;"",MIN($AH124,Settings!$B$3),Settings!$B$3),0,(YEAR(IF($AH124&lt;&gt;"",MIN($AH124,Settings!$B$3),Settings!$B$3))-YEAR($R124))*12+MONTH(IF($AH124&lt;&gt;"",MIN($AH124,Settings!$B$3),Settings!$B$3))-MONTH($R124)+1))</f>
        <v/>
      </c>
      <c r="AK124" s="25">
        <f>IF($R124="","",IF($R124&gt;MIN(Settings!$B$4-1,IF($AH124&lt;&gt;"",MIN($AH124,Settings!$B$3),Settings!$B$3)),0,(YEAR(MIN(Settings!$B$4-1,IF($AH124&lt;&gt;"",MIN($AH124,Settings!$B$3),Settings!$B$3)))-YEAR($R124))*12+MONTH(MIN(Settings!$B$4-1,IF($AH124&lt;&gt;"",MIN($AH124,Settings!$B$3),Settings!$B$3)))-MONTH($R124)+1))</f>
        <v/>
      </c>
      <c r="AL124" s="23">
        <f>IF(OR($S124="",$R124=""),"",ROUND(MAX(0,IF($W124="Straight-line",IF(N($V124)&lt;=0,0,($S124-N($U124))*MIN($AK124,$V124)/$V124),IF($W124="Reducing balance",MIN(($S124-N($U124)),$S124-$S124*(1-N($AG124))^INT($AK124/12)*(1-N($AG124)*MOD($AK124,12)/12)),IF($W124="DDB",IF(N($V124)&lt;=0,0,MIN(($S124-N($U124)),$S124-$S124*(1-MIN(1,24/$V124))^INT($AK124/12)*(1-MIN(1,24/$V124)*MOD($AK124,12)/12))),IF($W124="SYD",IF(N($V124)&lt;=0,0,($S124-N($U124))*(INT(MIN($AK124,$V124)/12)*(2*($V124/12)-INT(MIN($AK124,$V124)/12)+1)/2+MOD(MIN($AK124,$V124),12)/12*(($V124/12)-INT(MIN($AK124,$V124)/12)))/(($V124/12)*(($V124/12)+1)/2)),0))))),2))</f>
        <v/>
      </c>
      <c r="AM124" s="23">
        <f>IF($X124="","",$X124-$AL124)</f>
        <v/>
      </c>
      <c r="AN124" s="23">
        <f>IF(OR($AH124="",$Y124=""),"",N($AI124)-$Y124)</f>
        <v/>
      </c>
    </row>
    <row r="125">
      <c r="Q125" s="20" t="n"/>
      <c r="R125" s="20" t="n"/>
      <c r="S125" s="21" t="n"/>
      <c r="U125" s="21" t="n"/>
      <c r="V125" s="22" t="n"/>
      <c r="X125" s="23">
        <f>IF(OR($S125="",$R125=""),"",ROUND(MAX(0,IF($W125="Straight-line",IF(N($V125)&lt;=0,0,($S125-N($U125))*MIN($AJ125,$V125)/$V125),IF($W125="Reducing balance",MIN(($S125-N($U125)),$S125-$S125*(1-N($AG125))^INT($AJ125/12)*(1-N($AG125)*MOD($AJ125,12)/12)),IF($W125="DDB",IF(N($V125)&lt;=0,0,MIN(($S125-N($U125)),$S125-$S125*(1-MIN(1,24/$V125))^INT($AJ125/12)*(1-MIN(1,24/$V125)*MOD($AJ125,12)/12))),IF($W125="SYD",IF(N($V125)&lt;=0,0,($S125-N($U125))*(INT(MIN($AJ125,$V125)/12)*(2*($V125/12)-INT(MIN($AJ125,$V125)/12)+1)/2+MOD(MIN($AJ125,$V125),12)/12*(($V125/12)-INT(MIN($AJ125,$V125)/12)))/(($V125/12)*(($V125/12)+1)/2)),0))))),2))</f>
        <v/>
      </c>
      <c r="Y125" s="23">
        <f>IF($X125="","",$S125-$X125)</f>
        <v/>
      </c>
      <c r="AD125" s="20" t="n"/>
      <c r="AG125" s="24" t="n"/>
      <c r="AH125" s="20" t="n"/>
      <c r="AI125" s="21" t="n"/>
      <c r="AJ125" s="25">
        <f>IF($R125="","",IF($R125&gt;IF($AH125&lt;&gt;"",MIN($AH125,Settings!$B$3),Settings!$B$3),0,(YEAR(IF($AH125&lt;&gt;"",MIN($AH125,Settings!$B$3),Settings!$B$3))-YEAR($R125))*12+MONTH(IF($AH125&lt;&gt;"",MIN($AH125,Settings!$B$3),Settings!$B$3))-MONTH($R125)+1))</f>
        <v/>
      </c>
      <c r="AK125" s="25">
        <f>IF($R125="","",IF($R125&gt;MIN(Settings!$B$4-1,IF($AH125&lt;&gt;"",MIN($AH125,Settings!$B$3),Settings!$B$3)),0,(YEAR(MIN(Settings!$B$4-1,IF($AH125&lt;&gt;"",MIN($AH125,Settings!$B$3),Settings!$B$3)))-YEAR($R125))*12+MONTH(MIN(Settings!$B$4-1,IF($AH125&lt;&gt;"",MIN($AH125,Settings!$B$3),Settings!$B$3)))-MONTH($R125)+1))</f>
        <v/>
      </c>
      <c r="AL125" s="23">
        <f>IF(OR($S125="",$R125=""),"",ROUND(MAX(0,IF($W125="Straight-line",IF(N($V125)&lt;=0,0,($S125-N($U125))*MIN($AK125,$V125)/$V125),IF($W125="Reducing balance",MIN(($S125-N($U125)),$S125-$S125*(1-N($AG125))^INT($AK125/12)*(1-N($AG125)*MOD($AK125,12)/12)),IF($W125="DDB",IF(N($V125)&lt;=0,0,MIN(($S125-N($U125)),$S125-$S125*(1-MIN(1,24/$V125))^INT($AK125/12)*(1-MIN(1,24/$V125)*MOD($AK125,12)/12))),IF($W125="SYD",IF(N($V125)&lt;=0,0,($S125-N($U125))*(INT(MIN($AK125,$V125)/12)*(2*($V125/12)-INT(MIN($AK125,$V125)/12)+1)/2+MOD(MIN($AK125,$V125),12)/12*(($V125/12)-INT(MIN($AK125,$V125)/12)))/(($V125/12)*(($V125/12)+1)/2)),0))))),2))</f>
        <v/>
      </c>
      <c r="AM125" s="23">
        <f>IF($X125="","",$X125-$AL125)</f>
        <v/>
      </c>
      <c r="AN125" s="23">
        <f>IF(OR($AH125="",$Y125=""),"",N($AI125)-$Y125)</f>
        <v/>
      </c>
    </row>
    <row r="126">
      <c r="Q126" s="20" t="n"/>
      <c r="R126" s="20" t="n"/>
      <c r="S126" s="21" t="n"/>
      <c r="U126" s="21" t="n"/>
      <c r="V126" s="22" t="n"/>
      <c r="X126" s="23">
        <f>IF(OR($S126="",$R126=""),"",ROUND(MAX(0,IF($W126="Straight-line",IF(N($V126)&lt;=0,0,($S126-N($U126))*MIN($AJ126,$V126)/$V126),IF($W126="Reducing balance",MIN(($S126-N($U126)),$S126-$S126*(1-N($AG126))^INT($AJ126/12)*(1-N($AG126)*MOD($AJ126,12)/12)),IF($W126="DDB",IF(N($V126)&lt;=0,0,MIN(($S126-N($U126)),$S126-$S126*(1-MIN(1,24/$V126))^INT($AJ126/12)*(1-MIN(1,24/$V126)*MOD($AJ126,12)/12))),IF($W126="SYD",IF(N($V126)&lt;=0,0,($S126-N($U126))*(INT(MIN($AJ126,$V126)/12)*(2*($V126/12)-INT(MIN($AJ126,$V126)/12)+1)/2+MOD(MIN($AJ126,$V126),12)/12*(($V126/12)-INT(MIN($AJ126,$V126)/12)))/(($V126/12)*(($V126/12)+1)/2)),0))))),2))</f>
        <v/>
      </c>
      <c r="Y126" s="23">
        <f>IF($X126="","",$S126-$X126)</f>
        <v/>
      </c>
      <c r="AD126" s="20" t="n"/>
      <c r="AG126" s="24" t="n"/>
      <c r="AH126" s="20" t="n"/>
      <c r="AI126" s="21" t="n"/>
      <c r="AJ126" s="25">
        <f>IF($R126="","",IF($R126&gt;IF($AH126&lt;&gt;"",MIN($AH126,Settings!$B$3),Settings!$B$3),0,(YEAR(IF($AH126&lt;&gt;"",MIN($AH126,Settings!$B$3),Settings!$B$3))-YEAR($R126))*12+MONTH(IF($AH126&lt;&gt;"",MIN($AH126,Settings!$B$3),Settings!$B$3))-MONTH($R126)+1))</f>
        <v/>
      </c>
      <c r="AK126" s="25">
        <f>IF($R126="","",IF($R126&gt;MIN(Settings!$B$4-1,IF($AH126&lt;&gt;"",MIN($AH126,Settings!$B$3),Settings!$B$3)),0,(YEAR(MIN(Settings!$B$4-1,IF($AH126&lt;&gt;"",MIN($AH126,Settings!$B$3),Settings!$B$3)))-YEAR($R126))*12+MONTH(MIN(Settings!$B$4-1,IF($AH126&lt;&gt;"",MIN($AH126,Settings!$B$3),Settings!$B$3)))-MONTH($R126)+1))</f>
        <v/>
      </c>
      <c r="AL126" s="23">
        <f>IF(OR($S126="",$R126=""),"",ROUND(MAX(0,IF($W126="Straight-line",IF(N($V126)&lt;=0,0,($S126-N($U126))*MIN($AK126,$V126)/$V126),IF($W126="Reducing balance",MIN(($S126-N($U126)),$S126-$S126*(1-N($AG126))^INT($AK126/12)*(1-N($AG126)*MOD($AK126,12)/12)),IF($W126="DDB",IF(N($V126)&lt;=0,0,MIN(($S126-N($U126)),$S126-$S126*(1-MIN(1,24/$V126))^INT($AK126/12)*(1-MIN(1,24/$V126)*MOD($AK126,12)/12))),IF($W126="SYD",IF(N($V126)&lt;=0,0,($S126-N($U126))*(INT(MIN($AK126,$V126)/12)*(2*($V126/12)-INT(MIN($AK126,$V126)/12)+1)/2+MOD(MIN($AK126,$V126),12)/12*(($V126/12)-INT(MIN($AK126,$V126)/12)))/(($V126/12)*(($V126/12)+1)/2)),0))))),2))</f>
        <v/>
      </c>
      <c r="AM126" s="23">
        <f>IF($X126="","",$X126-$AL126)</f>
        <v/>
      </c>
      <c r="AN126" s="23">
        <f>IF(OR($AH126="",$Y126=""),"",N($AI126)-$Y126)</f>
        <v/>
      </c>
    </row>
    <row r="127">
      <c r="Q127" s="20" t="n"/>
      <c r="R127" s="20" t="n"/>
      <c r="S127" s="21" t="n"/>
      <c r="U127" s="21" t="n"/>
      <c r="V127" s="22" t="n"/>
      <c r="X127" s="23">
        <f>IF(OR($S127="",$R127=""),"",ROUND(MAX(0,IF($W127="Straight-line",IF(N($V127)&lt;=0,0,($S127-N($U127))*MIN($AJ127,$V127)/$V127),IF($W127="Reducing balance",MIN(($S127-N($U127)),$S127-$S127*(1-N($AG127))^INT($AJ127/12)*(1-N($AG127)*MOD($AJ127,12)/12)),IF($W127="DDB",IF(N($V127)&lt;=0,0,MIN(($S127-N($U127)),$S127-$S127*(1-MIN(1,24/$V127))^INT($AJ127/12)*(1-MIN(1,24/$V127)*MOD($AJ127,12)/12))),IF($W127="SYD",IF(N($V127)&lt;=0,0,($S127-N($U127))*(INT(MIN($AJ127,$V127)/12)*(2*($V127/12)-INT(MIN($AJ127,$V127)/12)+1)/2+MOD(MIN($AJ127,$V127),12)/12*(($V127/12)-INT(MIN($AJ127,$V127)/12)))/(($V127/12)*(($V127/12)+1)/2)),0))))),2))</f>
        <v/>
      </c>
      <c r="Y127" s="23">
        <f>IF($X127="","",$S127-$X127)</f>
        <v/>
      </c>
      <c r="AD127" s="20" t="n"/>
      <c r="AG127" s="24" t="n"/>
      <c r="AH127" s="20" t="n"/>
      <c r="AI127" s="21" t="n"/>
      <c r="AJ127" s="25">
        <f>IF($R127="","",IF($R127&gt;IF($AH127&lt;&gt;"",MIN($AH127,Settings!$B$3),Settings!$B$3),0,(YEAR(IF($AH127&lt;&gt;"",MIN($AH127,Settings!$B$3),Settings!$B$3))-YEAR($R127))*12+MONTH(IF($AH127&lt;&gt;"",MIN($AH127,Settings!$B$3),Settings!$B$3))-MONTH($R127)+1))</f>
        <v/>
      </c>
      <c r="AK127" s="25">
        <f>IF($R127="","",IF($R127&gt;MIN(Settings!$B$4-1,IF($AH127&lt;&gt;"",MIN($AH127,Settings!$B$3),Settings!$B$3)),0,(YEAR(MIN(Settings!$B$4-1,IF($AH127&lt;&gt;"",MIN($AH127,Settings!$B$3),Settings!$B$3)))-YEAR($R127))*12+MONTH(MIN(Settings!$B$4-1,IF($AH127&lt;&gt;"",MIN($AH127,Settings!$B$3),Settings!$B$3)))-MONTH($R127)+1))</f>
        <v/>
      </c>
      <c r="AL127" s="23">
        <f>IF(OR($S127="",$R127=""),"",ROUND(MAX(0,IF($W127="Straight-line",IF(N($V127)&lt;=0,0,($S127-N($U127))*MIN($AK127,$V127)/$V127),IF($W127="Reducing balance",MIN(($S127-N($U127)),$S127-$S127*(1-N($AG127))^INT($AK127/12)*(1-N($AG127)*MOD($AK127,12)/12)),IF($W127="DDB",IF(N($V127)&lt;=0,0,MIN(($S127-N($U127)),$S127-$S127*(1-MIN(1,24/$V127))^INT($AK127/12)*(1-MIN(1,24/$V127)*MOD($AK127,12)/12))),IF($W127="SYD",IF(N($V127)&lt;=0,0,($S127-N($U127))*(INT(MIN($AK127,$V127)/12)*(2*($V127/12)-INT(MIN($AK127,$V127)/12)+1)/2+MOD(MIN($AK127,$V127),12)/12*(($V127/12)-INT(MIN($AK127,$V127)/12)))/(($V127/12)*(($V127/12)+1)/2)),0))))),2))</f>
        <v/>
      </c>
      <c r="AM127" s="23">
        <f>IF($X127="","",$X127-$AL127)</f>
        <v/>
      </c>
      <c r="AN127" s="23">
        <f>IF(OR($AH127="",$Y127=""),"",N($AI127)-$Y127)</f>
        <v/>
      </c>
    </row>
    <row r="128">
      <c r="Q128" s="20" t="n"/>
      <c r="R128" s="20" t="n"/>
      <c r="S128" s="21" t="n"/>
      <c r="U128" s="21" t="n"/>
      <c r="V128" s="22" t="n"/>
      <c r="X128" s="23">
        <f>IF(OR($S128="",$R128=""),"",ROUND(MAX(0,IF($W128="Straight-line",IF(N($V128)&lt;=0,0,($S128-N($U128))*MIN($AJ128,$V128)/$V128),IF($W128="Reducing balance",MIN(($S128-N($U128)),$S128-$S128*(1-N($AG128))^INT($AJ128/12)*(1-N($AG128)*MOD($AJ128,12)/12)),IF($W128="DDB",IF(N($V128)&lt;=0,0,MIN(($S128-N($U128)),$S128-$S128*(1-MIN(1,24/$V128))^INT($AJ128/12)*(1-MIN(1,24/$V128)*MOD($AJ128,12)/12))),IF($W128="SYD",IF(N($V128)&lt;=0,0,($S128-N($U128))*(INT(MIN($AJ128,$V128)/12)*(2*($V128/12)-INT(MIN($AJ128,$V128)/12)+1)/2+MOD(MIN($AJ128,$V128),12)/12*(($V128/12)-INT(MIN($AJ128,$V128)/12)))/(($V128/12)*(($V128/12)+1)/2)),0))))),2))</f>
        <v/>
      </c>
      <c r="Y128" s="23">
        <f>IF($X128="","",$S128-$X128)</f>
        <v/>
      </c>
      <c r="AD128" s="20" t="n"/>
      <c r="AG128" s="24" t="n"/>
      <c r="AH128" s="20" t="n"/>
      <c r="AI128" s="21" t="n"/>
      <c r="AJ128" s="25">
        <f>IF($R128="","",IF($R128&gt;IF($AH128&lt;&gt;"",MIN($AH128,Settings!$B$3),Settings!$B$3),0,(YEAR(IF($AH128&lt;&gt;"",MIN($AH128,Settings!$B$3),Settings!$B$3))-YEAR($R128))*12+MONTH(IF($AH128&lt;&gt;"",MIN($AH128,Settings!$B$3),Settings!$B$3))-MONTH($R128)+1))</f>
        <v/>
      </c>
      <c r="AK128" s="25">
        <f>IF($R128="","",IF($R128&gt;MIN(Settings!$B$4-1,IF($AH128&lt;&gt;"",MIN($AH128,Settings!$B$3),Settings!$B$3)),0,(YEAR(MIN(Settings!$B$4-1,IF($AH128&lt;&gt;"",MIN($AH128,Settings!$B$3),Settings!$B$3)))-YEAR($R128))*12+MONTH(MIN(Settings!$B$4-1,IF($AH128&lt;&gt;"",MIN($AH128,Settings!$B$3),Settings!$B$3)))-MONTH($R128)+1))</f>
        <v/>
      </c>
      <c r="AL128" s="23">
        <f>IF(OR($S128="",$R128=""),"",ROUND(MAX(0,IF($W128="Straight-line",IF(N($V128)&lt;=0,0,($S128-N($U128))*MIN($AK128,$V128)/$V128),IF($W128="Reducing balance",MIN(($S128-N($U128)),$S128-$S128*(1-N($AG128))^INT($AK128/12)*(1-N($AG128)*MOD($AK128,12)/12)),IF($W128="DDB",IF(N($V128)&lt;=0,0,MIN(($S128-N($U128)),$S128-$S128*(1-MIN(1,24/$V128))^INT($AK128/12)*(1-MIN(1,24/$V128)*MOD($AK128,12)/12))),IF($W128="SYD",IF(N($V128)&lt;=0,0,($S128-N($U128))*(INT(MIN($AK128,$V128)/12)*(2*($V128/12)-INT(MIN($AK128,$V128)/12)+1)/2+MOD(MIN($AK128,$V128),12)/12*(($V128/12)-INT(MIN($AK128,$V128)/12)))/(($V128/12)*(($V128/12)+1)/2)),0))))),2))</f>
        <v/>
      </c>
      <c r="AM128" s="23">
        <f>IF($X128="","",$X128-$AL128)</f>
        <v/>
      </c>
      <c r="AN128" s="23">
        <f>IF(OR($AH128="",$Y128=""),"",N($AI128)-$Y128)</f>
        <v/>
      </c>
    </row>
    <row r="129">
      <c r="Q129" s="20" t="n"/>
      <c r="R129" s="20" t="n"/>
      <c r="S129" s="21" t="n"/>
      <c r="U129" s="21" t="n"/>
      <c r="V129" s="22" t="n"/>
      <c r="X129" s="23">
        <f>IF(OR($S129="",$R129=""),"",ROUND(MAX(0,IF($W129="Straight-line",IF(N($V129)&lt;=0,0,($S129-N($U129))*MIN($AJ129,$V129)/$V129),IF($W129="Reducing balance",MIN(($S129-N($U129)),$S129-$S129*(1-N($AG129))^INT($AJ129/12)*(1-N($AG129)*MOD($AJ129,12)/12)),IF($W129="DDB",IF(N($V129)&lt;=0,0,MIN(($S129-N($U129)),$S129-$S129*(1-MIN(1,24/$V129))^INT($AJ129/12)*(1-MIN(1,24/$V129)*MOD($AJ129,12)/12))),IF($W129="SYD",IF(N($V129)&lt;=0,0,($S129-N($U129))*(INT(MIN($AJ129,$V129)/12)*(2*($V129/12)-INT(MIN($AJ129,$V129)/12)+1)/2+MOD(MIN($AJ129,$V129),12)/12*(($V129/12)-INT(MIN($AJ129,$V129)/12)))/(($V129/12)*(($V129/12)+1)/2)),0))))),2))</f>
        <v/>
      </c>
      <c r="Y129" s="23">
        <f>IF($X129="","",$S129-$X129)</f>
        <v/>
      </c>
      <c r="AD129" s="20" t="n"/>
      <c r="AG129" s="24" t="n"/>
      <c r="AH129" s="20" t="n"/>
      <c r="AI129" s="21" t="n"/>
      <c r="AJ129" s="25">
        <f>IF($R129="","",IF($R129&gt;IF($AH129&lt;&gt;"",MIN($AH129,Settings!$B$3),Settings!$B$3),0,(YEAR(IF($AH129&lt;&gt;"",MIN($AH129,Settings!$B$3),Settings!$B$3))-YEAR($R129))*12+MONTH(IF($AH129&lt;&gt;"",MIN($AH129,Settings!$B$3),Settings!$B$3))-MONTH($R129)+1))</f>
        <v/>
      </c>
      <c r="AK129" s="25">
        <f>IF($R129="","",IF($R129&gt;MIN(Settings!$B$4-1,IF($AH129&lt;&gt;"",MIN($AH129,Settings!$B$3),Settings!$B$3)),0,(YEAR(MIN(Settings!$B$4-1,IF($AH129&lt;&gt;"",MIN($AH129,Settings!$B$3),Settings!$B$3)))-YEAR($R129))*12+MONTH(MIN(Settings!$B$4-1,IF($AH129&lt;&gt;"",MIN($AH129,Settings!$B$3),Settings!$B$3)))-MONTH($R129)+1))</f>
        <v/>
      </c>
      <c r="AL129" s="23">
        <f>IF(OR($S129="",$R129=""),"",ROUND(MAX(0,IF($W129="Straight-line",IF(N($V129)&lt;=0,0,($S129-N($U129))*MIN($AK129,$V129)/$V129),IF($W129="Reducing balance",MIN(($S129-N($U129)),$S129-$S129*(1-N($AG129))^INT($AK129/12)*(1-N($AG129)*MOD($AK129,12)/12)),IF($W129="DDB",IF(N($V129)&lt;=0,0,MIN(($S129-N($U129)),$S129-$S129*(1-MIN(1,24/$V129))^INT($AK129/12)*(1-MIN(1,24/$V129)*MOD($AK129,12)/12))),IF($W129="SYD",IF(N($V129)&lt;=0,0,($S129-N($U129))*(INT(MIN($AK129,$V129)/12)*(2*($V129/12)-INT(MIN($AK129,$V129)/12)+1)/2+MOD(MIN($AK129,$V129),12)/12*(($V129/12)-INT(MIN($AK129,$V129)/12)))/(($V129/12)*(($V129/12)+1)/2)),0))))),2))</f>
        <v/>
      </c>
      <c r="AM129" s="23">
        <f>IF($X129="","",$X129-$AL129)</f>
        <v/>
      </c>
      <c r="AN129" s="23">
        <f>IF(OR($AH129="",$Y129=""),"",N($AI129)-$Y129)</f>
        <v/>
      </c>
    </row>
    <row r="130">
      <c r="Q130" s="20" t="n"/>
      <c r="R130" s="20" t="n"/>
      <c r="S130" s="21" t="n"/>
      <c r="U130" s="21" t="n"/>
      <c r="V130" s="22" t="n"/>
      <c r="X130" s="23">
        <f>IF(OR($S130="",$R130=""),"",ROUND(MAX(0,IF($W130="Straight-line",IF(N($V130)&lt;=0,0,($S130-N($U130))*MIN($AJ130,$V130)/$V130),IF($W130="Reducing balance",MIN(($S130-N($U130)),$S130-$S130*(1-N($AG130))^INT($AJ130/12)*(1-N($AG130)*MOD($AJ130,12)/12)),IF($W130="DDB",IF(N($V130)&lt;=0,0,MIN(($S130-N($U130)),$S130-$S130*(1-MIN(1,24/$V130))^INT($AJ130/12)*(1-MIN(1,24/$V130)*MOD($AJ130,12)/12))),IF($W130="SYD",IF(N($V130)&lt;=0,0,($S130-N($U130))*(INT(MIN($AJ130,$V130)/12)*(2*($V130/12)-INT(MIN($AJ130,$V130)/12)+1)/2+MOD(MIN($AJ130,$V130),12)/12*(($V130/12)-INT(MIN($AJ130,$V130)/12)))/(($V130/12)*(($V130/12)+1)/2)),0))))),2))</f>
        <v/>
      </c>
      <c r="Y130" s="23">
        <f>IF($X130="","",$S130-$X130)</f>
        <v/>
      </c>
      <c r="AD130" s="20" t="n"/>
      <c r="AG130" s="24" t="n"/>
      <c r="AH130" s="20" t="n"/>
      <c r="AI130" s="21" t="n"/>
      <c r="AJ130" s="25">
        <f>IF($R130="","",IF($R130&gt;IF($AH130&lt;&gt;"",MIN($AH130,Settings!$B$3),Settings!$B$3),0,(YEAR(IF($AH130&lt;&gt;"",MIN($AH130,Settings!$B$3),Settings!$B$3))-YEAR($R130))*12+MONTH(IF($AH130&lt;&gt;"",MIN($AH130,Settings!$B$3),Settings!$B$3))-MONTH($R130)+1))</f>
        <v/>
      </c>
      <c r="AK130" s="25">
        <f>IF($R130="","",IF($R130&gt;MIN(Settings!$B$4-1,IF($AH130&lt;&gt;"",MIN($AH130,Settings!$B$3),Settings!$B$3)),0,(YEAR(MIN(Settings!$B$4-1,IF($AH130&lt;&gt;"",MIN($AH130,Settings!$B$3),Settings!$B$3)))-YEAR($R130))*12+MONTH(MIN(Settings!$B$4-1,IF($AH130&lt;&gt;"",MIN($AH130,Settings!$B$3),Settings!$B$3)))-MONTH($R130)+1))</f>
        <v/>
      </c>
      <c r="AL130" s="23">
        <f>IF(OR($S130="",$R130=""),"",ROUND(MAX(0,IF($W130="Straight-line",IF(N($V130)&lt;=0,0,($S130-N($U130))*MIN($AK130,$V130)/$V130),IF($W130="Reducing balance",MIN(($S130-N($U130)),$S130-$S130*(1-N($AG130))^INT($AK130/12)*(1-N($AG130)*MOD($AK130,12)/12)),IF($W130="DDB",IF(N($V130)&lt;=0,0,MIN(($S130-N($U130)),$S130-$S130*(1-MIN(1,24/$V130))^INT($AK130/12)*(1-MIN(1,24/$V130)*MOD($AK130,12)/12))),IF($W130="SYD",IF(N($V130)&lt;=0,0,($S130-N($U130))*(INT(MIN($AK130,$V130)/12)*(2*($V130/12)-INT(MIN($AK130,$V130)/12)+1)/2+MOD(MIN($AK130,$V130),12)/12*(($V130/12)-INT(MIN($AK130,$V130)/12)))/(($V130/12)*(($V130/12)+1)/2)),0))))),2))</f>
        <v/>
      </c>
      <c r="AM130" s="23">
        <f>IF($X130="","",$X130-$AL130)</f>
        <v/>
      </c>
      <c r="AN130" s="23">
        <f>IF(OR($AH130="",$Y130=""),"",N($AI130)-$Y130)</f>
        <v/>
      </c>
    </row>
    <row r="131">
      <c r="Q131" s="20" t="n"/>
      <c r="R131" s="20" t="n"/>
      <c r="S131" s="21" t="n"/>
      <c r="U131" s="21" t="n"/>
      <c r="V131" s="22" t="n"/>
      <c r="X131" s="23">
        <f>IF(OR($S131="",$R131=""),"",ROUND(MAX(0,IF($W131="Straight-line",IF(N($V131)&lt;=0,0,($S131-N($U131))*MIN($AJ131,$V131)/$V131),IF($W131="Reducing balance",MIN(($S131-N($U131)),$S131-$S131*(1-N($AG131))^INT($AJ131/12)*(1-N($AG131)*MOD($AJ131,12)/12)),IF($W131="DDB",IF(N($V131)&lt;=0,0,MIN(($S131-N($U131)),$S131-$S131*(1-MIN(1,24/$V131))^INT($AJ131/12)*(1-MIN(1,24/$V131)*MOD($AJ131,12)/12))),IF($W131="SYD",IF(N($V131)&lt;=0,0,($S131-N($U131))*(INT(MIN($AJ131,$V131)/12)*(2*($V131/12)-INT(MIN($AJ131,$V131)/12)+1)/2+MOD(MIN($AJ131,$V131),12)/12*(($V131/12)-INT(MIN($AJ131,$V131)/12)))/(($V131/12)*(($V131/12)+1)/2)),0))))),2))</f>
        <v/>
      </c>
      <c r="Y131" s="23">
        <f>IF($X131="","",$S131-$X131)</f>
        <v/>
      </c>
      <c r="AD131" s="20" t="n"/>
      <c r="AG131" s="24" t="n"/>
      <c r="AH131" s="20" t="n"/>
      <c r="AI131" s="21" t="n"/>
      <c r="AJ131" s="25">
        <f>IF($R131="","",IF($R131&gt;IF($AH131&lt;&gt;"",MIN($AH131,Settings!$B$3),Settings!$B$3),0,(YEAR(IF($AH131&lt;&gt;"",MIN($AH131,Settings!$B$3),Settings!$B$3))-YEAR($R131))*12+MONTH(IF($AH131&lt;&gt;"",MIN($AH131,Settings!$B$3),Settings!$B$3))-MONTH($R131)+1))</f>
        <v/>
      </c>
      <c r="AK131" s="25">
        <f>IF($R131="","",IF($R131&gt;MIN(Settings!$B$4-1,IF($AH131&lt;&gt;"",MIN($AH131,Settings!$B$3),Settings!$B$3)),0,(YEAR(MIN(Settings!$B$4-1,IF($AH131&lt;&gt;"",MIN($AH131,Settings!$B$3),Settings!$B$3)))-YEAR($R131))*12+MONTH(MIN(Settings!$B$4-1,IF($AH131&lt;&gt;"",MIN($AH131,Settings!$B$3),Settings!$B$3)))-MONTH($R131)+1))</f>
        <v/>
      </c>
      <c r="AL131" s="23">
        <f>IF(OR($S131="",$R131=""),"",ROUND(MAX(0,IF($W131="Straight-line",IF(N($V131)&lt;=0,0,($S131-N($U131))*MIN($AK131,$V131)/$V131),IF($W131="Reducing balance",MIN(($S131-N($U131)),$S131-$S131*(1-N($AG131))^INT($AK131/12)*(1-N($AG131)*MOD($AK131,12)/12)),IF($W131="DDB",IF(N($V131)&lt;=0,0,MIN(($S131-N($U131)),$S131-$S131*(1-MIN(1,24/$V131))^INT($AK131/12)*(1-MIN(1,24/$V131)*MOD($AK131,12)/12))),IF($W131="SYD",IF(N($V131)&lt;=0,0,($S131-N($U131))*(INT(MIN($AK131,$V131)/12)*(2*($V131/12)-INT(MIN($AK131,$V131)/12)+1)/2+MOD(MIN($AK131,$V131),12)/12*(($V131/12)-INT(MIN($AK131,$V131)/12)))/(($V131/12)*(($V131/12)+1)/2)),0))))),2))</f>
        <v/>
      </c>
      <c r="AM131" s="23">
        <f>IF($X131="","",$X131-$AL131)</f>
        <v/>
      </c>
      <c r="AN131" s="23">
        <f>IF(OR($AH131="",$Y131=""),"",N($AI131)-$Y131)</f>
        <v/>
      </c>
    </row>
    <row r="132">
      <c r="Q132" s="20" t="n"/>
      <c r="R132" s="20" t="n"/>
      <c r="S132" s="21" t="n"/>
      <c r="U132" s="21" t="n"/>
      <c r="V132" s="22" t="n"/>
      <c r="X132" s="23">
        <f>IF(OR($S132="",$R132=""),"",ROUND(MAX(0,IF($W132="Straight-line",IF(N($V132)&lt;=0,0,($S132-N($U132))*MIN($AJ132,$V132)/$V132),IF($W132="Reducing balance",MIN(($S132-N($U132)),$S132-$S132*(1-N($AG132))^INT($AJ132/12)*(1-N($AG132)*MOD($AJ132,12)/12)),IF($W132="DDB",IF(N($V132)&lt;=0,0,MIN(($S132-N($U132)),$S132-$S132*(1-MIN(1,24/$V132))^INT($AJ132/12)*(1-MIN(1,24/$V132)*MOD($AJ132,12)/12))),IF($W132="SYD",IF(N($V132)&lt;=0,0,($S132-N($U132))*(INT(MIN($AJ132,$V132)/12)*(2*($V132/12)-INT(MIN($AJ132,$V132)/12)+1)/2+MOD(MIN($AJ132,$V132),12)/12*(($V132/12)-INT(MIN($AJ132,$V132)/12)))/(($V132/12)*(($V132/12)+1)/2)),0))))),2))</f>
        <v/>
      </c>
      <c r="Y132" s="23">
        <f>IF($X132="","",$S132-$X132)</f>
        <v/>
      </c>
      <c r="AD132" s="20" t="n"/>
      <c r="AG132" s="24" t="n"/>
      <c r="AH132" s="20" t="n"/>
      <c r="AI132" s="21" t="n"/>
      <c r="AJ132" s="25">
        <f>IF($R132="","",IF($R132&gt;IF($AH132&lt;&gt;"",MIN($AH132,Settings!$B$3),Settings!$B$3),0,(YEAR(IF($AH132&lt;&gt;"",MIN($AH132,Settings!$B$3),Settings!$B$3))-YEAR($R132))*12+MONTH(IF($AH132&lt;&gt;"",MIN($AH132,Settings!$B$3),Settings!$B$3))-MONTH($R132)+1))</f>
        <v/>
      </c>
      <c r="AK132" s="25">
        <f>IF($R132="","",IF($R132&gt;MIN(Settings!$B$4-1,IF($AH132&lt;&gt;"",MIN($AH132,Settings!$B$3),Settings!$B$3)),0,(YEAR(MIN(Settings!$B$4-1,IF($AH132&lt;&gt;"",MIN($AH132,Settings!$B$3),Settings!$B$3)))-YEAR($R132))*12+MONTH(MIN(Settings!$B$4-1,IF($AH132&lt;&gt;"",MIN($AH132,Settings!$B$3),Settings!$B$3)))-MONTH($R132)+1))</f>
        <v/>
      </c>
      <c r="AL132" s="23">
        <f>IF(OR($S132="",$R132=""),"",ROUND(MAX(0,IF($W132="Straight-line",IF(N($V132)&lt;=0,0,($S132-N($U132))*MIN($AK132,$V132)/$V132),IF($W132="Reducing balance",MIN(($S132-N($U132)),$S132-$S132*(1-N($AG132))^INT($AK132/12)*(1-N($AG132)*MOD($AK132,12)/12)),IF($W132="DDB",IF(N($V132)&lt;=0,0,MIN(($S132-N($U132)),$S132-$S132*(1-MIN(1,24/$V132))^INT($AK132/12)*(1-MIN(1,24/$V132)*MOD($AK132,12)/12))),IF($W132="SYD",IF(N($V132)&lt;=0,0,($S132-N($U132))*(INT(MIN($AK132,$V132)/12)*(2*($V132/12)-INT(MIN($AK132,$V132)/12)+1)/2+MOD(MIN($AK132,$V132),12)/12*(($V132/12)-INT(MIN($AK132,$V132)/12)))/(($V132/12)*(($V132/12)+1)/2)),0))))),2))</f>
        <v/>
      </c>
      <c r="AM132" s="23">
        <f>IF($X132="","",$X132-$AL132)</f>
        <v/>
      </c>
      <c r="AN132" s="23">
        <f>IF(OR($AH132="",$Y132=""),"",N($AI132)-$Y132)</f>
        <v/>
      </c>
    </row>
    <row r="133">
      <c r="Q133" s="20" t="n"/>
      <c r="R133" s="20" t="n"/>
      <c r="S133" s="21" t="n"/>
      <c r="U133" s="21" t="n"/>
      <c r="V133" s="22" t="n"/>
      <c r="X133" s="23">
        <f>IF(OR($S133="",$R133=""),"",ROUND(MAX(0,IF($W133="Straight-line",IF(N($V133)&lt;=0,0,($S133-N($U133))*MIN($AJ133,$V133)/$V133),IF($W133="Reducing balance",MIN(($S133-N($U133)),$S133-$S133*(1-N($AG133))^INT($AJ133/12)*(1-N($AG133)*MOD($AJ133,12)/12)),IF($W133="DDB",IF(N($V133)&lt;=0,0,MIN(($S133-N($U133)),$S133-$S133*(1-MIN(1,24/$V133))^INT($AJ133/12)*(1-MIN(1,24/$V133)*MOD($AJ133,12)/12))),IF($W133="SYD",IF(N($V133)&lt;=0,0,($S133-N($U133))*(INT(MIN($AJ133,$V133)/12)*(2*($V133/12)-INT(MIN($AJ133,$V133)/12)+1)/2+MOD(MIN($AJ133,$V133),12)/12*(($V133/12)-INT(MIN($AJ133,$V133)/12)))/(($V133/12)*(($V133/12)+1)/2)),0))))),2))</f>
        <v/>
      </c>
      <c r="Y133" s="23">
        <f>IF($X133="","",$S133-$X133)</f>
        <v/>
      </c>
      <c r="AD133" s="20" t="n"/>
      <c r="AG133" s="24" t="n"/>
      <c r="AH133" s="20" t="n"/>
      <c r="AI133" s="21" t="n"/>
      <c r="AJ133" s="25">
        <f>IF($R133="","",IF($R133&gt;IF($AH133&lt;&gt;"",MIN($AH133,Settings!$B$3),Settings!$B$3),0,(YEAR(IF($AH133&lt;&gt;"",MIN($AH133,Settings!$B$3),Settings!$B$3))-YEAR($R133))*12+MONTH(IF($AH133&lt;&gt;"",MIN($AH133,Settings!$B$3),Settings!$B$3))-MONTH($R133)+1))</f>
        <v/>
      </c>
      <c r="AK133" s="25">
        <f>IF($R133="","",IF($R133&gt;MIN(Settings!$B$4-1,IF($AH133&lt;&gt;"",MIN($AH133,Settings!$B$3),Settings!$B$3)),0,(YEAR(MIN(Settings!$B$4-1,IF($AH133&lt;&gt;"",MIN($AH133,Settings!$B$3),Settings!$B$3)))-YEAR($R133))*12+MONTH(MIN(Settings!$B$4-1,IF($AH133&lt;&gt;"",MIN($AH133,Settings!$B$3),Settings!$B$3)))-MONTH($R133)+1))</f>
        <v/>
      </c>
      <c r="AL133" s="23">
        <f>IF(OR($S133="",$R133=""),"",ROUND(MAX(0,IF($W133="Straight-line",IF(N($V133)&lt;=0,0,($S133-N($U133))*MIN($AK133,$V133)/$V133),IF($W133="Reducing balance",MIN(($S133-N($U133)),$S133-$S133*(1-N($AG133))^INT($AK133/12)*(1-N($AG133)*MOD($AK133,12)/12)),IF($W133="DDB",IF(N($V133)&lt;=0,0,MIN(($S133-N($U133)),$S133-$S133*(1-MIN(1,24/$V133))^INT($AK133/12)*(1-MIN(1,24/$V133)*MOD($AK133,12)/12))),IF($W133="SYD",IF(N($V133)&lt;=0,0,($S133-N($U133))*(INT(MIN($AK133,$V133)/12)*(2*($V133/12)-INT(MIN($AK133,$V133)/12)+1)/2+MOD(MIN($AK133,$V133),12)/12*(($V133/12)-INT(MIN($AK133,$V133)/12)))/(($V133/12)*(($V133/12)+1)/2)),0))))),2))</f>
        <v/>
      </c>
      <c r="AM133" s="23">
        <f>IF($X133="","",$X133-$AL133)</f>
        <v/>
      </c>
      <c r="AN133" s="23">
        <f>IF(OR($AH133="",$Y133=""),"",N($AI133)-$Y133)</f>
        <v/>
      </c>
    </row>
    <row r="134">
      <c r="Q134" s="20" t="n"/>
      <c r="R134" s="20" t="n"/>
      <c r="S134" s="21" t="n"/>
      <c r="U134" s="21" t="n"/>
      <c r="V134" s="22" t="n"/>
      <c r="X134" s="23">
        <f>IF(OR($S134="",$R134=""),"",ROUND(MAX(0,IF($W134="Straight-line",IF(N($V134)&lt;=0,0,($S134-N($U134))*MIN($AJ134,$V134)/$V134),IF($W134="Reducing balance",MIN(($S134-N($U134)),$S134-$S134*(1-N($AG134))^INT($AJ134/12)*(1-N($AG134)*MOD($AJ134,12)/12)),IF($W134="DDB",IF(N($V134)&lt;=0,0,MIN(($S134-N($U134)),$S134-$S134*(1-MIN(1,24/$V134))^INT($AJ134/12)*(1-MIN(1,24/$V134)*MOD($AJ134,12)/12))),IF($W134="SYD",IF(N($V134)&lt;=0,0,($S134-N($U134))*(INT(MIN($AJ134,$V134)/12)*(2*($V134/12)-INT(MIN($AJ134,$V134)/12)+1)/2+MOD(MIN($AJ134,$V134),12)/12*(($V134/12)-INT(MIN($AJ134,$V134)/12)))/(($V134/12)*(($V134/12)+1)/2)),0))))),2))</f>
        <v/>
      </c>
      <c r="Y134" s="23">
        <f>IF($X134="","",$S134-$X134)</f>
        <v/>
      </c>
      <c r="AD134" s="20" t="n"/>
      <c r="AG134" s="24" t="n"/>
      <c r="AH134" s="20" t="n"/>
      <c r="AI134" s="21" t="n"/>
      <c r="AJ134" s="25">
        <f>IF($R134="","",IF($R134&gt;IF($AH134&lt;&gt;"",MIN($AH134,Settings!$B$3),Settings!$B$3),0,(YEAR(IF($AH134&lt;&gt;"",MIN($AH134,Settings!$B$3),Settings!$B$3))-YEAR($R134))*12+MONTH(IF($AH134&lt;&gt;"",MIN($AH134,Settings!$B$3),Settings!$B$3))-MONTH($R134)+1))</f>
        <v/>
      </c>
      <c r="AK134" s="25">
        <f>IF($R134="","",IF($R134&gt;MIN(Settings!$B$4-1,IF($AH134&lt;&gt;"",MIN($AH134,Settings!$B$3),Settings!$B$3)),0,(YEAR(MIN(Settings!$B$4-1,IF($AH134&lt;&gt;"",MIN($AH134,Settings!$B$3),Settings!$B$3)))-YEAR($R134))*12+MONTH(MIN(Settings!$B$4-1,IF($AH134&lt;&gt;"",MIN($AH134,Settings!$B$3),Settings!$B$3)))-MONTH($R134)+1))</f>
        <v/>
      </c>
      <c r="AL134" s="23">
        <f>IF(OR($S134="",$R134=""),"",ROUND(MAX(0,IF($W134="Straight-line",IF(N($V134)&lt;=0,0,($S134-N($U134))*MIN($AK134,$V134)/$V134),IF($W134="Reducing balance",MIN(($S134-N($U134)),$S134-$S134*(1-N($AG134))^INT($AK134/12)*(1-N($AG134)*MOD($AK134,12)/12)),IF($W134="DDB",IF(N($V134)&lt;=0,0,MIN(($S134-N($U134)),$S134-$S134*(1-MIN(1,24/$V134))^INT($AK134/12)*(1-MIN(1,24/$V134)*MOD($AK134,12)/12))),IF($W134="SYD",IF(N($V134)&lt;=0,0,($S134-N($U134))*(INT(MIN($AK134,$V134)/12)*(2*($V134/12)-INT(MIN($AK134,$V134)/12)+1)/2+MOD(MIN($AK134,$V134),12)/12*(($V134/12)-INT(MIN($AK134,$V134)/12)))/(($V134/12)*(($V134/12)+1)/2)),0))))),2))</f>
        <v/>
      </c>
      <c r="AM134" s="23">
        <f>IF($X134="","",$X134-$AL134)</f>
        <v/>
      </c>
      <c r="AN134" s="23">
        <f>IF(OR($AH134="",$Y134=""),"",N($AI134)-$Y134)</f>
        <v/>
      </c>
    </row>
    <row r="135">
      <c r="Q135" s="20" t="n"/>
      <c r="R135" s="20" t="n"/>
      <c r="S135" s="21" t="n"/>
      <c r="U135" s="21" t="n"/>
      <c r="V135" s="22" t="n"/>
      <c r="X135" s="23">
        <f>IF(OR($S135="",$R135=""),"",ROUND(MAX(0,IF($W135="Straight-line",IF(N($V135)&lt;=0,0,($S135-N($U135))*MIN($AJ135,$V135)/$V135),IF($W135="Reducing balance",MIN(($S135-N($U135)),$S135-$S135*(1-N($AG135))^INT($AJ135/12)*(1-N($AG135)*MOD($AJ135,12)/12)),IF($W135="DDB",IF(N($V135)&lt;=0,0,MIN(($S135-N($U135)),$S135-$S135*(1-MIN(1,24/$V135))^INT($AJ135/12)*(1-MIN(1,24/$V135)*MOD($AJ135,12)/12))),IF($W135="SYD",IF(N($V135)&lt;=0,0,($S135-N($U135))*(INT(MIN($AJ135,$V135)/12)*(2*($V135/12)-INT(MIN($AJ135,$V135)/12)+1)/2+MOD(MIN($AJ135,$V135),12)/12*(($V135/12)-INT(MIN($AJ135,$V135)/12)))/(($V135/12)*(($V135/12)+1)/2)),0))))),2))</f>
        <v/>
      </c>
      <c r="Y135" s="23">
        <f>IF($X135="","",$S135-$X135)</f>
        <v/>
      </c>
      <c r="AD135" s="20" t="n"/>
      <c r="AG135" s="24" t="n"/>
      <c r="AH135" s="20" t="n"/>
      <c r="AI135" s="21" t="n"/>
      <c r="AJ135" s="25">
        <f>IF($R135="","",IF($R135&gt;IF($AH135&lt;&gt;"",MIN($AH135,Settings!$B$3),Settings!$B$3),0,(YEAR(IF($AH135&lt;&gt;"",MIN($AH135,Settings!$B$3),Settings!$B$3))-YEAR($R135))*12+MONTH(IF($AH135&lt;&gt;"",MIN($AH135,Settings!$B$3),Settings!$B$3))-MONTH($R135)+1))</f>
        <v/>
      </c>
      <c r="AK135" s="25">
        <f>IF($R135="","",IF($R135&gt;MIN(Settings!$B$4-1,IF($AH135&lt;&gt;"",MIN($AH135,Settings!$B$3),Settings!$B$3)),0,(YEAR(MIN(Settings!$B$4-1,IF($AH135&lt;&gt;"",MIN($AH135,Settings!$B$3),Settings!$B$3)))-YEAR($R135))*12+MONTH(MIN(Settings!$B$4-1,IF($AH135&lt;&gt;"",MIN($AH135,Settings!$B$3),Settings!$B$3)))-MONTH($R135)+1))</f>
        <v/>
      </c>
      <c r="AL135" s="23">
        <f>IF(OR($S135="",$R135=""),"",ROUND(MAX(0,IF($W135="Straight-line",IF(N($V135)&lt;=0,0,($S135-N($U135))*MIN($AK135,$V135)/$V135),IF($W135="Reducing balance",MIN(($S135-N($U135)),$S135-$S135*(1-N($AG135))^INT($AK135/12)*(1-N($AG135)*MOD($AK135,12)/12)),IF($W135="DDB",IF(N($V135)&lt;=0,0,MIN(($S135-N($U135)),$S135-$S135*(1-MIN(1,24/$V135))^INT($AK135/12)*(1-MIN(1,24/$V135)*MOD($AK135,12)/12))),IF($W135="SYD",IF(N($V135)&lt;=0,0,($S135-N($U135))*(INT(MIN($AK135,$V135)/12)*(2*($V135/12)-INT(MIN($AK135,$V135)/12)+1)/2+MOD(MIN($AK135,$V135),12)/12*(($V135/12)-INT(MIN($AK135,$V135)/12)))/(($V135/12)*(($V135/12)+1)/2)),0))))),2))</f>
        <v/>
      </c>
      <c r="AM135" s="23">
        <f>IF($X135="","",$X135-$AL135)</f>
        <v/>
      </c>
      <c r="AN135" s="23">
        <f>IF(OR($AH135="",$Y135=""),"",N($AI135)-$Y135)</f>
        <v/>
      </c>
    </row>
    <row r="136">
      <c r="Q136" s="20" t="n"/>
      <c r="R136" s="20" t="n"/>
      <c r="S136" s="21" t="n"/>
      <c r="U136" s="21" t="n"/>
      <c r="V136" s="22" t="n"/>
      <c r="X136" s="23">
        <f>IF(OR($S136="",$R136=""),"",ROUND(MAX(0,IF($W136="Straight-line",IF(N($V136)&lt;=0,0,($S136-N($U136))*MIN($AJ136,$V136)/$V136),IF($W136="Reducing balance",MIN(($S136-N($U136)),$S136-$S136*(1-N($AG136))^INT($AJ136/12)*(1-N($AG136)*MOD($AJ136,12)/12)),IF($W136="DDB",IF(N($V136)&lt;=0,0,MIN(($S136-N($U136)),$S136-$S136*(1-MIN(1,24/$V136))^INT($AJ136/12)*(1-MIN(1,24/$V136)*MOD($AJ136,12)/12))),IF($W136="SYD",IF(N($V136)&lt;=0,0,($S136-N($U136))*(INT(MIN($AJ136,$V136)/12)*(2*($V136/12)-INT(MIN($AJ136,$V136)/12)+1)/2+MOD(MIN($AJ136,$V136),12)/12*(($V136/12)-INT(MIN($AJ136,$V136)/12)))/(($V136/12)*(($V136/12)+1)/2)),0))))),2))</f>
        <v/>
      </c>
      <c r="Y136" s="23">
        <f>IF($X136="","",$S136-$X136)</f>
        <v/>
      </c>
      <c r="AD136" s="20" t="n"/>
      <c r="AG136" s="24" t="n"/>
      <c r="AH136" s="20" t="n"/>
      <c r="AI136" s="21" t="n"/>
      <c r="AJ136" s="25">
        <f>IF($R136="","",IF($R136&gt;IF($AH136&lt;&gt;"",MIN($AH136,Settings!$B$3),Settings!$B$3),0,(YEAR(IF($AH136&lt;&gt;"",MIN($AH136,Settings!$B$3),Settings!$B$3))-YEAR($R136))*12+MONTH(IF($AH136&lt;&gt;"",MIN($AH136,Settings!$B$3),Settings!$B$3))-MONTH($R136)+1))</f>
        <v/>
      </c>
      <c r="AK136" s="25">
        <f>IF($R136="","",IF($R136&gt;MIN(Settings!$B$4-1,IF($AH136&lt;&gt;"",MIN($AH136,Settings!$B$3),Settings!$B$3)),0,(YEAR(MIN(Settings!$B$4-1,IF($AH136&lt;&gt;"",MIN($AH136,Settings!$B$3),Settings!$B$3)))-YEAR($R136))*12+MONTH(MIN(Settings!$B$4-1,IF($AH136&lt;&gt;"",MIN($AH136,Settings!$B$3),Settings!$B$3)))-MONTH($R136)+1))</f>
        <v/>
      </c>
      <c r="AL136" s="23">
        <f>IF(OR($S136="",$R136=""),"",ROUND(MAX(0,IF($W136="Straight-line",IF(N($V136)&lt;=0,0,($S136-N($U136))*MIN($AK136,$V136)/$V136),IF($W136="Reducing balance",MIN(($S136-N($U136)),$S136-$S136*(1-N($AG136))^INT($AK136/12)*(1-N($AG136)*MOD($AK136,12)/12)),IF($W136="DDB",IF(N($V136)&lt;=0,0,MIN(($S136-N($U136)),$S136-$S136*(1-MIN(1,24/$V136))^INT($AK136/12)*(1-MIN(1,24/$V136)*MOD($AK136,12)/12))),IF($W136="SYD",IF(N($V136)&lt;=0,0,($S136-N($U136))*(INT(MIN($AK136,$V136)/12)*(2*($V136/12)-INT(MIN($AK136,$V136)/12)+1)/2+MOD(MIN($AK136,$V136),12)/12*(($V136/12)-INT(MIN($AK136,$V136)/12)))/(($V136/12)*(($V136/12)+1)/2)),0))))),2))</f>
        <v/>
      </c>
      <c r="AM136" s="23">
        <f>IF($X136="","",$X136-$AL136)</f>
        <v/>
      </c>
      <c r="AN136" s="23">
        <f>IF(OR($AH136="",$Y136=""),"",N($AI136)-$Y136)</f>
        <v/>
      </c>
    </row>
    <row r="137">
      <c r="Q137" s="20" t="n"/>
      <c r="R137" s="20" t="n"/>
      <c r="S137" s="21" t="n"/>
      <c r="U137" s="21" t="n"/>
      <c r="V137" s="22" t="n"/>
      <c r="X137" s="23">
        <f>IF(OR($S137="",$R137=""),"",ROUND(MAX(0,IF($W137="Straight-line",IF(N($V137)&lt;=0,0,($S137-N($U137))*MIN($AJ137,$V137)/$V137),IF($W137="Reducing balance",MIN(($S137-N($U137)),$S137-$S137*(1-N($AG137))^INT($AJ137/12)*(1-N($AG137)*MOD($AJ137,12)/12)),IF($W137="DDB",IF(N($V137)&lt;=0,0,MIN(($S137-N($U137)),$S137-$S137*(1-MIN(1,24/$V137))^INT($AJ137/12)*(1-MIN(1,24/$V137)*MOD($AJ137,12)/12))),IF($W137="SYD",IF(N($V137)&lt;=0,0,($S137-N($U137))*(INT(MIN($AJ137,$V137)/12)*(2*($V137/12)-INT(MIN($AJ137,$V137)/12)+1)/2+MOD(MIN($AJ137,$V137),12)/12*(($V137/12)-INT(MIN($AJ137,$V137)/12)))/(($V137/12)*(($V137/12)+1)/2)),0))))),2))</f>
        <v/>
      </c>
      <c r="Y137" s="23">
        <f>IF($X137="","",$S137-$X137)</f>
        <v/>
      </c>
      <c r="AD137" s="20" t="n"/>
      <c r="AG137" s="24" t="n"/>
      <c r="AH137" s="20" t="n"/>
      <c r="AI137" s="21" t="n"/>
      <c r="AJ137" s="25">
        <f>IF($R137="","",IF($R137&gt;IF($AH137&lt;&gt;"",MIN($AH137,Settings!$B$3),Settings!$B$3),0,(YEAR(IF($AH137&lt;&gt;"",MIN($AH137,Settings!$B$3),Settings!$B$3))-YEAR($R137))*12+MONTH(IF($AH137&lt;&gt;"",MIN($AH137,Settings!$B$3),Settings!$B$3))-MONTH($R137)+1))</f>
        <v/>
      </c>
      <c r="AK137" s="25">
        <f>IF($R137="","",IF($R137&gt;MIN(Settings!$B$4-1,IF($AH137&lt;&gt;"",MIN($AH137,Settings!$B$3),Settings!$B$3)),0,(YEAR(MIN(Settings!$B$4-1,IF($AH137&lt;&gt;"",MIN($AH137,Settings!$B$3),Settings!$B$3)))-YEAR($R137))*12+MONTH(MIN(Settings!$B$4-1,IF($AH137&lt;&gt;"",MIN($AH137,Settings!$B$3),Settings!$B$3)))-MONTH($R137)+1))</f>
        <v/>
      </c>
      <c r="AL137" s="23">
        <f>IF(OR($S137="",$R137=""),"",ROUND(MAX(0,IF($W137="Straight-line",IF(N($V137)&lt;=0,0,($S137-N($U137))*MIN($AK137,$V137)/$V137),IF($W137="Reducing balance",MIN(($S137-N($U137)),$S137-$S137*(1-N($AG137))^INT($AK137/12)*(1-N($AG137)*MOD($AK137,12)/12)),IF($W137="DDB",IF(N($V137)&lt;=0,0,MIN(($S137-N($U137)),$S137-$S137*(1-MIN(1,24/$V137))^INT($AK137/12)*(1-MIN(1,24/$V137)*MOD($AK137,12)/12))),IF($W137="SYD",IF(N($V137)&lt;=0,0,($S137-N($U137))*(INT(MIN($AK137,$V137)/12)*(2*($V137/12)-INT(MIN($AK137,$V137)/12)+1)/2+MOD(MIN($AK137,$V137),12)/12*(($V137/12)-INT(MIN($AK137,$V137)/12)))/(($V137/12)*(($V137/12)+1)/2)),0))))),2))</f>
        <v/>
      </c>
      <c r="AM137" s="23">
        <f>IF($X137="","",$X137-$AL137)</f>
        <v/>
      </c>
      <c r="AN137" s="23">
        <f>IF(OR($AH137="",$Y137=""),"",N($AI137)-$Y137)</f>
        <v/>
      </c>
    </row>
    <row r="138">
      <c r="Q138" s="20" t="n"/>
      <c r="R138" s="20" t="n"/>
      <c r="S138" s="21" t="n"/>
      <c r="U138" s="21" t="n"/>
      <c r="V138" s="22" t="n"/>
      <c r="X138" s="23">
        <f>IF(OR($S138="",$R138=""),"",ROUND(MAX(0,IF($W138="Straight-line",IF(N($V138)&lt;=0,0,($S138-N($U138))*MIN($AJ138,$V138)/$V138),IF($W138="Reducing balance",MIN(($S138-N($U138)),$S138-$S138*(1-N($AG138))^INT($AJ138/12)*(1-N($AG138)*MOD($AJ138,12)/12)),IF($W138="DDB",IF(N($V138)&lt;=0,0,MIN(($S138-N($U138)),$S138-$S138*(1-MIN(1,24/$V138))^INT($AJ138/12)*(1-MIN(1,24/$V138)*MOD($AJ138,12)/12))),IF($W138="SYD",IF(N($V138)&lt;=0,0,($S138-N($U138))*(INT(MIN($AJ138,$V138)/12)*(2*($V138/12)-INT(MIN($AJ138,$V138)/12)+1)/2+MOD(MIN($AJ138,$V138),12)/12*(($V138/12)-INT(MIN($AJ138,$V138)/12)))/(($V138/12)*(($V138/12)+1)/2)),0))))),2))</f>
        <v/>
      </c>
      <c r="Y138" s="23">
        <f>IF($X138="","",$S138-$X138)</f>
        <v/>
      </c>
      <c r="AD138" s="20" t="n"/>
      <c r="AG138" s="24" t="n"/>
      <c r="AH138" s="20" t="n"/>
      <c r="AI138" s="21" t="n"/>
      <c r="AJ138" s="25">
        <f>IF($R138="","",IF($R138&gt;IF($AH138&lt;&gt;"",MIN($AH138,Settings!$B$3),Settings!$B$3),0,(YEAR(IF($AH138&lt;&gt;"",MIN($AH138,Settings!$B$3),Settings!$B$3))-YEAR($R138))*12+MONTH(IF($AH138&lt;&gt;"",MIN($AH138,Settings!$B$3),Settings!$B$3))-MONTH($R138)+1))</f>
        <v/>
      </c>
      <c r="AK138" s="25">
        <f>IF($R138="","",IF($R138&gt;MIN(Settings!$B$4-1,IF($AH138&lt;&gt;"",MIN($AH138,Settings!$B$3),Settings!$B$3)),0,(YEAR(MIN(Settings!$B$4-1,IF($AH138&lt;&gt;"",MIN($AH138,Settings!$B$3),Settings!$B$3)))-YEAR($R138))*12+MONTH(MIN(Settings!$B$4-1,IF($AH138&lt;&gt;"",MIN($AH138,Settings!$B$3),Settings!$B$3)))-MONTH($R138)+1))</f>
        <v/>
      </c>
      <c r="AL138" s="23">
        <f>IF(OR($S138="",$R138=""),"",ROUND(MAX(0,IF($W138="Straight-line",IF(N($V138)&lt;=0,0,($S138-N($U138))*MIN($AK138,$V138)/$V138),IF($W138="Reducing balance",MIN(($S138-N($U138)),$S138-$S138*(1-N($AG138))^INT($AK138/12)*(1-N($AG138)*MOD($AK138,12)/12)),IF($W138="DDB",IF(N($V138)&lt;=0,0,MIN(($S138-N($U138)),$S138-$S138*(1-MIN(1,24/$V138))^INT($AK138/12)*(1-MIN(1,24/$V138)*MOD($AK138,12)/12))),IF($W138="SYD",IF(N($V138)&lt;=0,0,($S138-N($U138))*(INT(MIN($AK138,$V138)/12)*(2*($V138/12)-INT(MIN($AK138,$V138)/12)+1)/2+MOD(MIN($AK138,$V138),12)/12*(($V138/12)-INT(MIN($AK138,$V138)/12)))/(($V138/12)*(($V138/12)+1)/2)),0))))),2))</f>
        <v/>
      </c>
      <c r="AM138" s="23">
        <f>IF($X138="","",$X138-$AL138)</f>
        <v/>
      </c>
      <c r="AN138" s="23">
        <f>IF(OR($AH138="",$Y138=""),"",N($AI138)-$Y138)</f>
        <v/>
      </c>
    </row>
    <row r="139">
      <c r="Q139" s="20" t="n"/>
      <c r="R139" s="20" t="n"/>
      <c r="S139" s="21" t="n"/>
      <c r="U139" s="21" t="n"/>
      <c r="V139" s="22" t="n"/>
      <c r="X139" s="23">
        <f>IF(OR($S139="",$R139=""),"",ROUND(MAX(0,IF($W139="Straight-line",IF(N($V139)&lt;=0,0,($S139-N($U139))*MIN($AJ139,$V139)/$V139),IF($W139="Reducing balance",MIN(($S139-N($U139)),$S139-$S139*(1-N($AG139))^INT($AJ139/12)*(1-N($AG139)*MOD($AJ139,12)/12)),IF($W139="DDB",IF(N($V139)&lt;=0,0,MIN(($S139-N($U139)),$S139-$S139*(1-MIN(1,24/$V139))^INT($AJ139/12)*(1-MIN(1,24/$V139)*MOD($AJ139,12)/12))),IF($W139="SYD",IF(N($V139)&lt;=0,0,($S139-N($U139))*(INT(MIN($AJ139,$V139)/12)*(2*($V139/12)-INT(MIN($AJ139,$V139)/12)+1)/2+MOD(MIN($AJ139,$V139),12)/12*(($V139/12)-INT(MIN($AJ139,$V139)/12)))/(($V139/12)*(($V139/12)+1)/2)),0))))),2))</f>
        <v/>
      </c>
      <c r="Y139" s="23">
        <f>IF($X139="","",$S139-$X139)</f>
        <v/>
      </c>
      <c r="AD139" s="20" t="n"/>
      <c r="AG139" s="24" t="n"/>
      <c r="AH139" s="20" t="n"/>
      <c r="AI139" s="21" t="n"/>
      <c r="AJ139" s="25">
        <f>IF($R139="","",IF($R139&gt;IF($AH139&lt;&gt;"",MIN($AH139,Settings!$B$3),Settings!$B$3),0,(YEAR(IF($AH139&lt;&gt;"",MIN($AH139,Settings!$B$3),Settings!$B$3))-YEAR($R139))*12+MONTH(IF($AH139&lt;&gt;"",MIN($AH139,Settings!$B$3),Settings!$B$3))-MONTH($R139)+1))</f>
        <v/>
      </c>
      <c r="AK139" s="25">
        <f>IF($R139="","",IF($R139&gt;MIN(Settings!$B$4-1,IF($AH139&lt;&gt;"",MIN($AH139,Settings!$B$3),Settings!$B$3)),0,(YEAR(MIN(Settings!$B$4-1,IF($AH139&lt;&gt;"",MIN($AH139,Settings!$B$3),Settings!$B$3)))-YEAR($R139))*12+MONTH(MIN(Settings!$B$4-1,IF($AH139&lt;&gt;"",MIN($AH139,Settings!$B$3),Settings!$B$3)))-MONTH($R139)+1))</f>
        <v/>
      </c>
      <c r="AL139" s="23">
        <f>IF(OR($S139="",$R139=""),"",ROUND(MAX(0,IF($W139="Straight-line",IF(N($V139)&lt;=0,0,($S139-N($U139))*MIN($AK139,$V139)/$V139),IF($W139="Reducing balance",MIN(($S139-N($U139)),$S139-$S139*(1-N($AG139))^INT($AK139/12)*(1-N($AG139)*MOD($AK139,12)/12)),IF($W139="DDB",IF(N($V139)&lt;=0,0,MIN(($S139-N($U139)),$S139-$S139*(1-MIN(1,24/$V139))^INT($AK139/12)*(1-MIN(1,24/$V139)*MOD($AK139,12)/12))),IF($W139="SYD",IF(N($V139)&lt;=0,0,($S139-N($U139))*(INT(MIN($AK139,$V139)/12)*(2*($V139/12)-INT(MIN($AK139,$V139)/12)+1)/2+MOD(MIN($AK139,$V139),12)/12*(($V139/12)-INT(MIN($AK139,$V139)/12)))/(($V139/12)*(($V139/12)+1)/2)),0))))),2))</f>
        <v/>
      </c>
      <c r="AM139" s="23">
        <f>IF($X139="","",$X139-$AL139)</f>
        <v/>
      </c>
      <c r="AN139" s="23">
        <f>IF(OR($AH139="",$Y139=""),"",N($AI139)-$Y139)</f>
        <v/>
      </c>
    </row>
    <row r="140">
      <c r="Q140" s="20" t="n"/>
      <c r="R140" s="20" t="n"/>
      <c r="S140" s="21" t="n"/>
      <c r="U140" s="21" t="n"/>
      <c r="V140" s="22" t="n"/>
      <c r="X140" s="23">
        <f>IF(OR($S140="",$R140=""),"",ROUND(MAX(0,IF($W140="Straight-line",IF(N($V140)&lt;=0,0,($S140-N($U140))*MIN($AJ140,$V140)/$V140),IF($W140="Reducing balance",MIN(($S140-N($U140)),$S140-$S140*(1-N($AG140))^INT($AJ140/12)*(1-N($AG140)*MOD($AJ140,12)/12)),IF($W140="DDB",IF(N($V140)&lt;=0,0,MIN(($S140-N($U140)),$S140-$S140*(1-MIN(1,24/$V140))^INT($AJ140/12)*(1-MIN(1,24/$V140)*MOD($AJ140,12)/12))),IF($W140="SYD",IF(N($V140)&lt;=0,0,($S140-N($U140))*(INT(MIN($AJ140,$V140)/12)*(2*($V140/12)-INT(MIN($AJ140,$V140)/12)+1)/2+MOD(MIN($AJ140,$V140),12)/12*(($V140/12)-INT(MIN($AJ140,$V140)/12)))/(($V140/12)*(($V140/12)+1)/2)),0))))),2))</f>
        <v/>
      </c>
      <c r="Y140" s="23">
        <f>IF($X140="","",$S140-$X140)</f>
        <v/>
      </c>
      <c r="AD140" s="20" t="n"/>
      <c r="AG140" s="24" t="n"/>
      <c r="AH140" s="20" t="n"/>
      <c r="AI140" s="21" t="n"/>
      <c r="AJ140" s="25">
        <f>IF($R140="","",IF($R140&gt;IF($AH140&lt;&gt;"",MIN($AH140,Settings!$B$3),Settings!$B$3),0,(YEAR(IF($AH140&lt;&gt;"",MIN($AH140,Settings!$B$3),Settings!$B$3))-YEAR($R140))*12+MONTH(IF($AH140&lt;&gt;"",MIN($AH140,Settings!$B$3),Settings!$B$3))-MONTH($R140)+1))</f>
        <v/>
      </c>
      <c r="AK140" s="25">
        <f>IF($R140="","",IF($R140&gt;MIN(Settings!$B$4-1,IF($AH140&lt;&gt;"",MIN($AH140,Settings!$B$3),Settings!$B$3)),0,(YEAR(MIN(Settings!$B$4-1,IF($AH140&lt;&gt;"",MIN($AH140,Settings!$B$3),Settings!$B$3)))-YEAR($R140))*12+MONTH(MIN(Settings!$B$4-1,IF($AH140&lt;&gt;"",MIN($AH140,Settings!$B$3),Settings!$B$3)))-MONTH($R140)+1))</f>
        <v/>
      </c>
      <c r="AL140" s="23">
        <f>IF(OR($S140="",$R140=""),"",ROUND(MAX(0,IF($W140="Straight-line",IF(N($V140)&lt;=0,0,($S140-N($U140))*MIN($AK140,$V140)/$V140),IF($W140="Reducing balance",MIN(($S140-N($U140)),$S140-$S140*(1-N($AG140))^INT($AK140/12)*(1-N($AG140)*MOD($AK140,12)/12)),IF($W140="DDB",IF(N($V140)&lt;=0,0,MIN(($S140-N($U140)),$S140-$S140*(1-MIN(1,24/$V140))^INT($AK140/12)*(1-MIN(1,24/$V140)*MOD($AK140,12)/12))),IF($W140="SYD",IF(N($V140)&lt;=0,0,($S140-N($U140))*(INT(MIN($AK140,$V140)/12)*(2*($V140/12)-INT(MIN($AK140,$V140)/12)+1)/2+MOD(MIN($AK140,$V140),12)/12*(($V140/12)-INT(MIN($AK140,$V140)/12)))/(($V140/12)*(($V140/12)+1)/2)),0))))),2))</f>
        <v/>
      </c>
      <c r="AM140" s="23">
        <f>IF($X140="","",$X140-$AL140)</f>
        <v/>
      </c>
      <c r="AN140" s="23">
        <f>IF(OR($AH140="",$Y140=""),"",N($AI140)-$Y140)</f>
        <v/>
      </c>
    </row>
    <row r="141">
      <c r="Q141" s="20" t="n"/>
      <c r="R141" s="20" t="n"/>
      <c r="S141" s="21" t="n"/>
      <c r="U141" s="21" t="n"/>
      <c r="V141" s="22" t="n"/>
      <c r="X141" s="23">
        <f>IF(OR($S141="",$R141=""),"",ROUND(MAX(0,IF($W141="Straight-line",IF(N($V141)&lt;=0,0,($S141-N($U141))*MIN($AJ141,$V141)/$V141),IF($W141="Reducing balance",MIN(($S141-N($U141)),$S141-$S141*(1-N($AG141))^INT($AJ141/12)*(1-N($AG141)*MOD($AJ141,12)/12)),IF($W141="DDB",IF(N($V141)&lt;=0,0,MIN(($S141-N($U141)),$S141-$S141*(1-MIN(1,24/$V141))^INT($AJ141/12)*(1-MIN(1,24/$V141)*MOD($AJ141,12)/12))),IF($W141="SYD",IF(N($V141)&lt;=0,0,($S141-N($U141))*(INT(MIN($AJ141,$V141)/12)*(2*($V141/12)-INT(MIN($AJ141,$V141)/12)+1)/2+MOD(MIN($AJ141,$V141),12)/12*(($V141/12)-INT(MIN($AJ141,$V141)/12)))/(($V141/12)*(($V141/12)+1)/2)),0))))),2))</f>
        <v/>
      </c>
      <c r="Y141" s="23">
        <f>IF($X141="","",$S141-$X141)</f>
        <v/>
      </c>
      <c r="AD141" s="20" t="n"/>
      <c r="AG141" s="24" t="n"/>
      <c r="AH141" s="20" t="n"/>
      <c r="AI141" s="21" t="n"/>
      <c r="AJ141" s="25">
        <f>IF($R141="","",IF($R141&gt;IF($AH141&lt;&gt;"",MIN($AH141,Settings!$B$3),Settings!$B$3),0,(YEAR(IF($AH141&lt;&gt;"",MIN($AH141,Settings!$B$3),Settings!$B$3))-YEAR($R141))*12+MONTH(IF($AH141&lt;&gt;"",MIN($AH141,Settings!$B$3),Settings!$B$3))-MONTH($R141)+1))</f>
        <v/>
      </c>
      <c r="AK141" s="25">
        <f>IF($R141="","",IF($R141&gt;MIN(Settings!$B$4-1,IF($AH141&lt;&gt;"",MIN($AH141,Settings!$B$3),Settings!$B$3)),0,(YEAR(MIN(Settings!$B$4-1,IF($AH141&lt;&gt;"",MIN($AH141,Settings!$B$3),Settings!$B$3)))-YEAR($R141))*12+MONTH(MIN(Settings!$B$4-1,IF($AH141&lt;&gt;"",MIN($AH141,Settings!$B$3),Settings!$B$3)))-MONTH($R141)+1))</f>
        <v/>
      </c>
      <c r="AL141" s="23">
        <f>IF(OR($S141="",$R141=""),"",ROUND(MAX(0,IF($W141="Straight-line",IF(N($V141)&lt;=0,0,($S141-N($U141))*MIN($AK141,$V141)/$V141),IF($W141="Reducing balance",MIN(($S141-N($U141)),$S141-$S141*(1-N($AG141))^INT($AK141/12)*(1-N($AG141)*MOD($AK141,12)/12)),IF($W141="DDB",IF(N($V141)&lt;=0,0,MIN(($S141-N($U141)),$S141-$S141*(1-MIN(1,24/$V141))^INT($AK141/12)*(1-MIN(1,24/$V141)*MOD($AK141,12)/12))),IF($W141="SYD",IF(N($V141)&lt;=0,0,($S141-N($U141))*(INT(MIN($AK141,$V141)/12)*(2*($V141/12)-INT(MIN($AK141,$V141)/12)+1)/2+MOD(MIN($AK141,$V141),12)/12*(($V141/12)-INT(MIN($AK141,$V141)/12)))/(($V141/12)*(($V141/12)+1)/2)),0))))),2))</f>
        <v/>
      </c>
      <c r="AM141" s="23">
        <f>IF($X141="","",$X141-$AL141)</f>
        <v/>
      </c>
      <c r="AN141" s="23">
        <f>IF(OR($AH141="",$Y141=""),"",N($AI141)-$Y141)</f>
        <v/>
      </c>
    </row>
    <row r="142">
      <c r="Q142" s="20" t="n"/>
      <c r="R142" s="20" t="n"/>
      <c r="S142" s="21" t="n"/>
      <c r="U142" s="21" t="n"/>
      <c r="V142" s="22" t="n"/>
      <c r="X142" s="23">
        <f>IF(OR($S142="",$R142=""),"",ROUND(MAX(0,IF($W142="Straight-line",IF(N($V142)&lt;=0,0,($S142-N($U142))*MIN($AJ142,$V142)/$V142),IF($W142="Reducing balance",MIN(($S142-N($U142)),$S142-$S142*(1-N($AG142))^INT($AJ142/12)*(1-N($AG142)*MOD($AJ142,12)/12)),IF($W142="DDB",IF(N($V142)&lt;=0,0,MIN(($S142-N($U142)),$S142-$S142*(1-MIN(1,24/$V142))^INT($AJ142/12)*(1-MIN(1,24/$V142)*MOD($AJ142,12)/12))),IF($W142="SYD",IF(N($V142)&lt;=0,0,($S142-N($U142))*(INT(MIN($AJ142,$V142)/12)*(2*($V142/12)-INT(MIN($AJ142,$V142)/12)+1)/2+MOD(MIN($AJ142,$V142),12)/12*(($V142/12)-INT(MIN($AJ142,$V142)/12)))/(($V142/12)*(($V142/12)+1)/2)),0))))),2))</f>
        <v/>
      </c>
      <c r="Y142" s="23">
        <f>IF($X142="","",$S142-$X142)</f>
        <v/>
      </c>
      <c r="AD142" s="20" t="n"/>
      <c r="AG142" s="24" t="n"/>
      <c r="AH142" s="20" t="n"/>
      <c r="AI142" s="21" t="n"/>
      <c r="AJ142" s="25">
        <f>IF($R142="","",IF($R142&gt;IF($AH142&lt;&gt;"",MIN($AH142,Settings!$B$3),Settings!$B$3),0,(YEAR(IF($AH142&lt;&gt;"",MIN($AH142,Settings!$B$3),Settings!$B$3))-YEAR($R142))*12+MONTH(IF($AH142&lt;&gt;"",MIN($AH142,Settings!$B$3),Settings!$B$3))-MONTH($R142)+1))</f>
        <v/>
      </c>
      <c r="AK142" s="25">
        <f>IF($R142="","",IF($R142&gt;MIN(Settings!$B$4-1,IF($AH142&lt;&gt;"",MIN($AH142,Settings!$B$3),Settings!$B$3)),0,(YEAR(MIN(Settings!$B$4-1,IF($AH142&lt;&gt;"",MIN($AH142,Settings!$B$3),Settings!$B$3)))-YEAR($R142))*12+MONTH(MIN(Settings!$B$4-1,IF($AH142&lt;&gt;"",MIN($AH142,Settings!$B$3),Settings!$B$3)))-MONTH($R142)+1))</f>
        <v/>
      </c>
      <c r="AL142" s="23">
        <f>IF(OR($S142="",$R142=""),"",ROUND(MAX(0,IF($W142="Straight-line",IF(N($V142)&lt;=0,0,($S142-N($U142))*MIN($AK142,$V142)/$V142),IF($W142="Reducing balance",MIN(($S142-N($U142)),$S142-$S142*(1-N($AG142))^INT($AK142/12)*(1-N($AG142)*MOD($AK142,12)/12)),IF($W142="DDB",IF(N($V142)&lt;=0,0,MIN(($S142-N($U142)),$S142-$S142*(1-MIN(1,24/$V142))^INT($AK142/12)*(1-MIN(1,24/$V142)*MOD($AK142,12)/12))),IF($W142="SYD",IF(N($V142)&lt;=0,0,($S142-N($U142))*(INT(MIN($AK142,$V142)/12)*(2*($V142/12)-INT(MIN($AK142,$V142)/12)+1)/2+MOD(MIN($AK142,$V142),12)/12*(($V142/12)-INT(MIN($AK142,$V142)/12)))/(($V142/12)*(($V142/12)+1)/2)),0))))),2))</f>
        <v/>
      </c>
      <c r="AM142" s="23">
        <f>IF($X142="","",$X142-$AL142)</f>
        <v/>
      </c>
      <c r="AN142" s="23">
        <f>IF(OR($AH142="",$Y142=""),"",N($AI142)-$Y142)</f>
        <v/>
      </c>
    </row>
    <row r="143">
      <c r="Q143" s="20" t="n"/>
      <c r="R143" s="20" t="n"/>
      <c r="S143" s="21" t="n"/>
      <c r="U143" s="21" t="n"/>
      <c r="V143" s="22" t="n"/>
      <c r="X143" s="23">
        <f>IF(OR($S143="",$R143=""),"",ROUND(MAX(0,IF($W143="Straight-line",IF(N($V143)&lt;=0,0,($S143-N($U143))*MIN($AJ143,$V143)/$V143),IF($W143="Reducing balance",MIN(($S143-N($U143)),$S143-$S143*(1-N($AG143))^INT($AJ143/12)*(1-N($AG143)*MOD($AJ143,12)/12)),IF($W143="DDB",IF(N($V143)&lt;=0,0,MIN(($S143-N($U143)),$S143-$S143*(1-MIN(1,24/$V143))^INT($AJ143/12)*(1-MIN(1,24/$V143)*MOD($AJ143,12)/12))),IF($W143="SYD",IF(N($V143)&lt;=0,0,($S143-N($U143))*(INT(MIN($AJ143,$V143)/12)*(2*($V143/12)-INT(MIN($AJ143,$V143)/12)+1)/2+MOD(MIN($AJ143,$V143),12)/12*(($V143/12)-INT(MIN($AJ143,$V143)/12)))/(($V143/12)*(($V143/12)+1)/2)),0))))),2))</f>
        <v/>
      </c>
      <c r="Y143" s="23">
        <f>IF($X143="","",$S143-$X143)</f>
        <v/>
      </c>
      <c r="AD143" s="20" t="n"/>
      <c r="AG143" s="24" t="n"/>
      <c r="AH143" s="20" t="n"/>
      <c r="AI143" s="21" t="n"/>
      <c r="AJ143" s="25">
        <f>IF($R143="","",IF($R143&gt;IF($AH143&lt;&gt;"",MIN($AH143,Settings!$B$3),Settings!$B$3),0,(YEAR(IF($AH143&lt;&gt;"",MIN($AH143,Settings!$B$3),Settings!$B$3))-YEAR($R143))*12+MONTH(IF($AH143&lt;&gt;"",MIN($AH143,Settings!$B$3),Settings!$B$3))-MONTH($R143)+1))</f>
        <v/>
      </c>
      <c r="AK143" s="25">
        <f>IF($R143="","",IF($R143&gt;MIN(Settings!$B$4-1,IF($AH143&lt;&gt;"",MIN($AH143,Settings!$B$3),Settings!$B$3)),0,(YEAR(MIN(Settings!$B$4-1,IF($AH143&lt;&gt;"",MIN($AH143,Settings!$B$3),Settings!$B$3)))-YEAR($R143))*12+MONTH(MIN(Settings!$B$4-1,IF($AH143&lt;&gt;"",MIN($AH143,Settings!$B$3),Settings!$B$3)))-MONTH($R143)+1))</f>
        <v/>
      </c>
      <c r="AL143" s="23">
        <f>IF(OR($S143="",$R143=""),"",ROUND(MAX(0,IF($W143="Straight-line",IF(N($V143)&lt;=0,0,($S143-N($U143))*MIN($AK143,$V143)/$V143),IF($W143="Reducing balance",MIN(($S143-N($U143)),$S143-$S143*(1-N($AG143))^INT($AK143/12)*(1-N($AG143)*MOD($AK143,12)/12)),IF($W143="DDB",IF(N($V143)&lt;=0,0,MIN(($S143-N($U143)),$S143-$S143*(1-MIN(1,24/$V143))^INT($AK143/12)*(1-MIN(1,24/$V143)*MOD($AK143,12)/12))),IF($W143="SYD",IF(N($V143)&lt;=0,0,($S143-N($U143))*(INT(MIN($AK143,$V143)/12)*(2*($V143/12)-INT(MIN($AK143,$V143)/12)+1)/2+MOD(MIN($AK143,$V143),12)/12*(($V143/12)-INT(MIN($AK143,$V143)/12)))/(($V143/12)*(($V143/12)+1)/2)),0))))),2))</f>
        <v/>
      </c>
      <c r="AM143" s="23">
        <f>IF($X143="","",$X143-$AL143)</f>
        <v/>
      </c>
      <c r="AN143" s="23">
        <f>IF(OR($AH143="",$Y143=""),"",N($AI143)-$Y143)</f>
        <v/>
      </c>
    </row>
    <row r="144">
      <c r="Q144" s="20" t="n"/>
      <c r="R144" s="20" t="n"/>
      <c r="S144" s="21" t="n"/>
      <c r="U144" s="21" t="n"/>
      <c r="V144" s="22" t="n"/>
      <c r="X144" s="23">
        <f>IF(OR($S144="",$R144=""),"",ROUND(MAX(0,IF($W144="Straight-line",IF(N($V144)&lt;=0,0,($S144-N($U144))*MIN($AJ144,$V144)/$V144),IF($W144="Reducing balance",MIN(($S144-N($U144)),$S144-$S144*(1-N($AG144))^INT($AJ144/12)*(1-N($AG144)*MOD($AJ144,12)/12)),IF($W144="DDB",IF(N($V144)&lt;=0,0,MIN(($S144-N($U144)),$S144-$S144*(1-MIN(1,24/$V144))^INT($AJ144/12)*(1-MIN(1,24/$V144)*MOD($AJ144,12)/12))),IF($W144="SYD",IF(N($V144)&lt;=0,0,($S144-N($U144))*(INT(MIN($AJ144,$V144)/12)*(2*($V144/12)-INT(MIN($AJ144,$V144)/12)+1)/2+MOD(MIN($AJ144,$V144),12)/12*(($V144/12)-INT(MIN($AJ144,$V144)/12)))/(($V144/12)*(($V144/12)+1)/2)),0))))),2))</f>
        <v/>
      </c>
      <c r="Y144" s="23">
        <f>IF($X144="","",$S144-$X144)</f>
        <v/>
      </c>
      <c r="AD144" s="20" t="n"/>
      <c r="AG144" s="24" t="n"/>
      <c r="AH144" s="20" t="n"/>
      <c r="AI144" s="21" t="n"/>
      <c r="AJ144" s="25">
        <f>IF($R144="","",IF($R144&gt;IF($AH144&lt;&gt;"",MIN($AH144,Settings!$B$3),Settings!$B$3),0,(YEAR(IF($AH144&lt;&gt;"",MIN($AH144,Settings!$B$3),Settings!$B$3))-YEAR($R144))*12+MONTH(IF($AH144&lt;&gt;"",MIN($AH144,Settings!$B$3),Settings!$B$3))-MONTH($R144)+1))</f>
        <v/>
      </c>
      <c r="AK144" s="25">
        <f>IF($R144="","",IF($R144&gt;MIN(Settings!$B$4-1,IF($AH144&lt;&gt;"",MIN($AH144,Settings!$B$3),Settings!$B$3)),0,(YEAR(MIN(Settings!$B$4-1,IF($AH144&lt;&gt;"",MIN($AH144,Settings!$B$3),Settings!$B$3)))-YEAR($R144))*12+MONTH(MIN(Settings!$B$4-1,IF($AH144&lt;&gt;"",MIN($AH144,Settings!$B$3),Settings!$B$3)))-MONTH($R144)+1))</f>
        <v/>
      </c>
      <c r="AL144" s="23">
        <f>IF(OR($S144="",$R144=""),"",ROUND(MAX(0,IF($W144="Straight-line",IF(N($V144)&lt;=0,0,($S144-N($U144))*MIN($AK144,$V144)/$V144),IF($W144="Reducing balance",MIN(($S144-N($U144)),$S144-$S144*(1-N($AG144))^INT($AK144/12)*(1-N($AG144)*MOD($AK144,12)/12)),IF($W144="DDB",IF(N($V144)&lt;=0,0,MIN(($S144-N($U144)),$S144-$S144*(1-MIN(1,24/$V144))^INT($AK144/12)*(1-MIN(1,24/$V144)*MOD($AK144,12)/12))),IF($W144="SYD",IF(N($V144)&lt;=0,0,($S144-N($U144))*(INT(MIN($AK144,$V144)/12)*(2*($V144/12)-INT(MIN($AK144,$V144)/12)+1)/2+MOD(MIN($AK144,$V144),12)/12*(($V144/12)-INT(MIN($AK144,$V144)/12)))/(($V144/12)*(($V144/12)+1)/2)),0))))),2))</f>
        <v/>
      </c>
      <c r="AM144" s="23">
        <f>IF($X144="","",$X144-$AL144)</f>
        <v/>
      </c>
      <c r="AN144" s="23">
        <f>IF(OR($AH144="",$Y144=""),"",N($AI144)-$Y144)</f>
        <v/>
      </c>
    </row>
    <row r="145">
      <c r="Q145" s="20" t="n"/>
      <c r="R145" s="20" t="n"/>
      <c r="S145" s="21" t="n"/>
      <c r="U145" s="21" t="n"/>
      <c r="V145" s="22" t="n"/>
      <c r="X145" s="23">
        <f>IF(OR($S145="",$R145=""),"",ROUND(MAX(0,IF($W145="Straight-line",IF(N($V145)&lt;=0,0,($S145-N($U145))*MIN($AJ145,$V145)/$V145),IF($W145="Reducing balance",MIN(($S145-N($U145)),$S145-$S145*(1-N($AG145))^INT($AJ145/12)*(1-N($AG145)*MOD($AJ145,12)/12)),IF($W145="DDB",IF(N($V145)&lt;=0,0,MIN(($S145-N($U145)),$S145-$S145*(1-MIN(1,24/$V145))^INT($AJ145/12)*(1-MIN(1,24/$V145)*MOD($AJ145,12)/12))),IF($W145="SYD",IF(N($V145)&lt;=0,0,($S145-N($U145))*(INT(MIN($AJ145,$V145)/12)*(2*($V145/12)-INT(MIN($AJ145,$V145)/12)+1)/2+MOD(MIN($AJ145,$V145),12)/12*(($V145/12)-INT(MIN($AJ145,$V145)/12)))/(($V145/12)*(($V145/12)+1)/2)),0))))),2))</f>
        <v/>
      </c>
      <c r="Y145" s="23">
        <f>IF($X145="","",$S145-$X145)</f>
        <v/>
      </c>
      <c r="AD145" s="20" t="n"/>
      <c r="AG145" s="24" t="n"/>
      <c r="AH145" s="20" t="n"/>
      <c r="AI145" s="21" t="n"/>
      <c r="AJ145" s="25">
        <f>IF($R145="","",IF($R145&gt;IF($AH145&lt;&gt;"",MIN($AH145,Settings!$B$3),Settings!$B$3),0,(YEAR(IF($AH145&lt;&gt;"",MIN($AH145,Settings!$B$3),Settings!$B$3))-YEAR($R145))*12+MONTH(IF($AH145&lt;&gt;"",MIN($AH145,Settings!$B$3),Settings!$B$3))-MONTH($R145)+1))</f>
        <v/>
      </c>
      <c r="AK145" s="25">
        <f>IF($R145="","",IF($R145&gt;MIN(Settings!$B$4-1,IF($AH145&lt;&gt;"",MIN($AH145,Settings!$B$3),Settings!$B$3)),0,(YEAR(MIN(Settings!$B$4-1,IF($AH145&lt;&gt;"",MIN($AH145,Settings!$B$3),Settings!$B$3)))-YEAR($R145))*12+MONTH(MIN(Settings!$B$4-1,IF($AH145&lt;&gt;"",MIN($AH145,Settings!$B$3),Settings!$B$3)))-MONTH($R145)+1))</f>
        <v/>
      </c>
      <c r="AL145" s="23">
        <f>IF(OR($S145="",$R145=""),"",ROUND(MAX(0,IF($W145="Straight-line",IF(N($V145)&lt;=0,0,($S145-N($U145))*MIN($AK145,$V145)/$V145),IF($W145="Reducing balance",MIN(($S145-N($U145)),$S145-$S145*(1-N($AG145))^INT($AK145/12)*(1-N($AG145)*MOD($AK145,12)/12)),IF($W145="DDB",IF(N($V145)&lt;=0,0,MIN(($S145-N($U145)),$S145-$S145*(1-MIN(1,24/$V145))^INT($AK145/12)*(1-MIN(1,24/$V145)*MOD($AK145,12)/12))),IF($W145="SYD",IF(N($V145)&lt;=0,0,($S145-N($U145))*(INT(MIN($AK145,$V145)/12)*(2*($V145/12)-INT(MIN($AK145,$V145)/12)+1)/2+MOD(MIN($AK145,$V145),12)/12*(($V145/12)-INT(MIN($AK145,$V145)/12)))/(($V145/12)*(($V145/12)+1)/2)),0))))),2))</f>
        <v/>
      </c>
      <c r="AM145" s="23">
        <f>IF($X145="","",$X145-$AL145)</f>
        <v/>
      </c>
      <c r="AN145" s="23">
        <f>IF(OR($AH145="",$Y145=""),"",N($AI145)-$Y145)</f>
        <v/>
      </c>
    </row>
    <row r="146">
      <c r="Q146" s="20" t="n"/>
      <c r="R146" s="20" t="n"/>
      <c r="S146" s="21" t="n"/>
      <c r="U146" s="21" t="n"/>
      <c r="V146" s="22" t="n"/>
      <c r="X146" s="23">
        <f>IF(OR($S146="",$R146=""),"",ROUND(MAX(0,IF($W146="Straight-line",IF(N($V146)&lt;=0,0,($S146-N($U146))*MIN($AJ146,$V146)/$V146),IF($W146="Reducing balance",MIN(($S146-N($U146)),$S146-$S146*(1-N($AG146))^INT($AJ146/12)*(1-N($AG146)*MOD($AJ146,12)/12)),IF($W146="DDB",IF(N($V146)&lt;=0,0,MIN(($S146-N($U146)),$S146-$S146*(1-MIN(1,24/$V146))^INT($AJ146/12)*(1-MIN(1,24/$V146)*MOD($AJ146,12)/12))),IF($W146="SYD",IF(N($V146)&lt;=0,0,($S146-N($U146))*(INT(MIN($AJ146,$V146)/12)*(2*($V146/12)-INT(MIN($AJ146,$V146)/12)+1)/2+MOD(MIN($AJ146,$V146),12)/12*(($V146/12)-INT(MIN($AJ146,$V146)/12)))/(($V146/12)*(($V146/12)+1)/2)),0))))),2))</f>
        <v/>
      </c>
      <c r="Y146" s="23">
        <f>IF($X146="","",$S146-$X146)</f>
        <v/>
      </c>
      <c r="AD146" s="20" t="n"/>
      <c r="AG146" s="24" t="n"/>
      <c r="AH146" s="20" t="n"/>
      <c r="AI146" s="21" t="n"/>
      <c r="AJ146" s="25">
        <f>IF($R146="","",IF($R146&gt;IF($AH146&lt;&gt;"",MIN($AH146,Settings!$B$3),Settings!$B$3),0,(YEAR(IF($AH146&lt;&gt;"",MIN($AH146,Settings!$B$3),Settings!$B$3))-YEAR($R146))*12+MONTH(IF($AH146&lt;&gt;"",MIN($AH146,Settings!$B$3),Settings!$B$3))-MONTH($R146)+1))</f>
        <v/>
      </c>
      <c r="AK146" s="25">
        <f>IF($R146="","",IF($R146&gt;MIN(Settings!$B$4-1,IF($AH146&lt;&gt;"",MIN($AH146,Settings!$B$3),Settings!$B$3)),0,(YEAR(MIN(Settings!$B$4-1,IF($AH146&lt;&gt;"",MIN($AH146,Settings!$B$3),Settings!$B$3)))-YEAR($R146))*12+MONTH(MIN(Settings!$B$4-1,IF($AH146&lt;&gt;"",MIN($AH146,Settings!$B$3),Settings!$B$3)))-MONTH($R146)+1))</f>
        <v/>
      </c>
      <c r="AL146" s="23">
        <f>IF(OR($S146="",$R146=""),"",ROUND(MAX(0,IF($W146="Straight-line",IF(N($V146)&lt;=0,0,($S146-N($U146))*MIN($AK146,$V146)/$V146),IF($W146="Reducing balance",MIN(($S146-N($U146)),$S146-$S146*(1-N($AG146))^INT($AK146/12)*(1-N($AG146)*MOD($AK146,12)/12)),IF($W146="DDB",IF(N($V146)&lt;=0,0,MIN(($S146-N($U146)),$S146-$S146*(1-MIN(1,24/$V146))^INT($AK146/12)*(1-MIN(1,24/$V146)*MOD($AK146,12)/12))),IF($W146="SYD",IF(N($V146)&lt;=0,0,($S146-N($U146))*(INT(MIN($AK146,$V146)/12)*(2*($V146/12)-INT(MIN($AK146,$V146)/12)+1)/2+MOD(MIN($AK146,$V146),12)/12*(($V146/12)-INT(MIN($AK146,$V146)/12)))/(($V146/12)*(($V146/12)+1)/2)),0))))),2))</f>
        <v/>
      </c>
      <c r="AM146" s="23">
        <f>IF($X146="","",$X146-$AL146)</f>
        <v/>
      </c>
      <c r="AN146" s="23">
        <f>IF(OR($AH146="",$Y146=""),"",N($AI146)-$Y146)</f>
        <v/>
      </c>
    </row>
    <row r="147">
      <c r="Q147" s="20" t="n"/>
      <c r="R147" s="20" t="n"/>
      <c r="S147" s="21" t="n"/>
      <c r="U147" s="21" t="n"/>
      <c r="V147" s="22" t="n"/>
      <c r="X147" s="23">
        <f>IF(OR($S147="",$R147=""),"",ROUND(MAX(0,IF($W147="Straight-line",IF(N($V147)&lt;=0,0,($S147-N($U147))*MIN($AJ147,$V147)/$V147),IF($W147="Reducing balance",MIN(($S147-N($U147)),$S147-$S147*(1-N($AG147))^INT($AJ147/12)*(1-N($AG147)*MOD($AJ147,12)/12)),IF($W147="DDB",IF(N($V147)&lt;=0,0,MIN(($S147-N($U147)),$S147-$S147*(1-MIN(1,24/$V147))^INT($AJ147/12)*(1-MIN(1,24/$V147)*MOD($AJ147,12)/12))),IF($W147="SYD",IF(N($V147)&lt;=0,0,($S147-N($U147))*(INT(MIN($AJ147,$V147)/12)*(2*($V147/12)-INT(MIN($AJ147,$V147)/12)+1)/2+MOD(MIN($AJ147,$V147),12)/12*(($V147/12)-INT(MIN($AJ147,$V147)/12)))/(($V147/12)*(($V147/12)+1)/2)),0))))),2))</f>
        <v/>
      </c>
      <c r="Y147" s="23">
        <f>IF($X147="","",$S147-$X147)</f>
        <v/>
      </c>
      <c r="AD147" s="20" t="n"/>
      <c r="AG147" s="24" t="n"/>
      <c r="AH147" s="20" t="n"/>
      <c r="AI147" s="21" t="n"/>
      <c r="AJ147" s="25">
        <f>IF($R147="","",IF($R147&gt;IF($AH147&lt;&gt;"",MIN($AH147,Settings!$B$3),Settings!$B$3),0,(YEAR(IF($AH147&lt;&gt;"",MIN($AH147,Settings!$B$3),Settings!$B$3))-YEAR($R147))*12+MONTH(IF($AH147&lt;&gt;"",MIN($AH147,Settings!$B$3),Settings!$B$3))-MONTH($R147)+1))</f>
        <v/>
      </c>
      <c r="AK147" s="25">
        <f>IF($R147="","",IF($R147&gt;MIN(Settings!$B$4-1,IF($AH147&lt;&gt;"",MIN($AH147,Settings!$B$3),Settings!$B$3)),0,(YEAR(MIN(Settings!$B$4-1,IF($AH147&lt;&gt;"",MIN($AH147,Settings!$B$3),Settings!$B$3)))-YEAR($R147))*12+MONTH(MIN(Settings!$B$4-1,IF($AH147&lt;&gt;"",MIN($AH147,Settings!$B$3),Settings!$B$3)))-MONTH($R147)+1))</f>
        <v/>
      </c>
      <c r="AL147" s="23">
        <f>IF(OR($S147="",$R147=""),"",ROUND(MAX(0,IF($W147="Straight-line",IF(N($V147)&lt;=0,0,($S147-N($U147))*MIN($AK147,$V147)/$V147),IF($W147="Reducing balance",MIN(($S147-N($U147)),$S147-$S147*(1-N($AG147))^INT($AK147/12)*(1-N($AG147)*MOD($AK147,12)/12)),IF($W147="DDB",IF(N($V147)&lt;=0,0,MIN(($S147-N($U147)),$S147-$S147*(1-MIN(1,24/$V147))^INT($AK147/12)*(1-MIN(1,24/$V147)*MOD($AK147,12)/12))),IF($W147="SYD",IF(N($V147)&lt;=0,0,($S147-N($U147))*(INT(MIN($AK147,$V147)/12)*(2*($V147/12)-INT(MIN($AK147,$V147)/12)+1)/2+MOD(MIN($AK147,$V147),12)/12*(($V147/12)-INT(MIN($AK147,$V147)/12)))/(($V147/12)*(($V147/12)+1)/2)),0))))),2))</f>
        <v/>
      </c>
      <c r="AM147" s="23">
        <f>IF($X147="","",$X147-$AL147)</f>
        <v/>
      </c>
      <c r="AN147" s="23">
        <f>IF(OR($AH147="",$Y147=""),"",N($AI147)-$Y147)</f>
        <v/>
      </c>
    </row>
    <row r="148">
      <c r="Q148" s="20" t="n"/>
      <c r="R148" s="20" t="n"/>
      <c r="S148" s="21" t="n"/>
      <c r="U148" s="21" t="n"/>
      <c r="V148" s="22" t="n"/>
      <c r="X148" s="23">
        <f>IF(OR($S148="",$R148=""),"",ROUND(MAX(0,IF($W148="Straight-line",IF(N($V148)&lt;=0,0,($S148-N($U148))*MIN($AJ148,$V148)/$V148),IF($W148="Reducing balance",MIN(($S148-N($U148)),$S148-$S148*(1-N($AG148))^INT($AJ148/12)*(1-N($AG148)*MOD($AJ148,12)/12)),IF($W148="DDB",IF(N($V148)&lt;=0,0,MIN(($S148-N($U148)),$S148-$S148*(1-MIN(1,24/$V148))^INT($AJ148/12)*(1-MIN(1,24/$V148)*MOD($AJ148,12)/12))),IF($W148="SYD",IF(N($V148)&lt;=0,0,($S148-N($U148))*(INT(MIN($AJ148,$V148)/12)*(2*($V148/12)-INT(MIN($AJ148,$V148)/12)+1)/2+MOD(MIN($AJ148,$V148),12)/12*(($V148/12)-INT(MIN($AJ148,$V148)/12)))/(($V148/12)*(($V148/12)+1)/2)),0))))),2))</f>
        <v/>
      </c>
      <c r="Y148" s="23">
        <f>IF($X148="","",$S148-$X148)</f>
        <v/>
      </c>
      <c r="AD148" s="20" t="n"/>
      <c r="AG148" s="24" t="n"/>
      <c r="AH148" s="20" t="n"/>
      <c r="AI148" s="21" t="n"/>
      <c r="AJ148" s="25">
        <f>IF($R148="","",IF($R148&gt;IF($AH148&lt;&gt;"",MIN($AH148,Settings!$B$3),Settings!$B$3),0,(YEAR(IF($AH148&lt;&gt;"",MIN($AH148,Settings!$B$3),Settings!$B$3))-YEAR($R148))*12+MONTH(IF($AH148&lt;&gt;"",MIN($AH148,Settings!$B$3),Settings!$B$3))-MONTH($R148)+1))</f>
        <v/>
      </c>
      <c r="AK148" s="25">
        <f>IF($R148="","",IF($R148&gt;MIN(Settings!$B$4-1,IF($AH148&lt;&gt;"",MIN($AH148,Settings!$B$3),Settings!$B$3)),0,(YEAR(MIN(Settings!$B$4-1,IF($AH148&lt;&gt;"",MIN($AH148,Settings!$B$3),Settings!$B$3)))-YEAR($R148))*12+MONTH(MIN(Settings!$B$4-1,IF($AH148&lt;&gt;"",MIN($AH148,Settings!$B$3),Settings!$B$3)))-MONTH($R148)+1))</f>
        <v/>
      </c>
      <c r="AL148" s="23">
        <f>IF(OR($S148="",$R148=""),"",ROUND(MAX(0,IF($W148="Straight-line",IF(N($V148)&lt;=0,0,($S148-N($U148))*MIN($AK148,$V148)/$V148),IF($W148="Reducing balance",MIN(($S148-N($U148)),$S148-$S148*(1-N($AG148))^INT($AK148/12)*(1-N($AG148)*MOD($AK148,12)/12)),IF($W148="DDB",IF(N($V148)&lt;=0,0,MIN(($S148-N($U148)),$S148-$S148*(1-MIN(1,24/$V148))^INT($AK148/12)*(1-MIN(1,24/$V148)*MOD($AK148,12)/12))),IF($W148="SYD",IF(N($V148)&lt;=0,0,($S148-N($U148))*(INT(MIN($AK148,$V148)/12)*(2*($V148/12)-INT(MIN($AK148,$V148)/12)+1)/2+MOD(MIN($AK148,$V148),12)/12*(($V148/12)-INT(MIN($AK148,$V148)/12)))/(($V148/12)*(($V148/12)+1)/2)),0))))),2))</f>
        <v/>
      </c>
      <c r="AM148" s="23">
        <f>IF($X148="","",$X148-$AL148)</f>
        <v/>
      </c>
      <c r="AN148" s="23">
        <f>IF(OR($AH148="",$Y148=""),"",N($AI148)-$Y148)</f>
        <v/>
      </c>
    </row>
    <row r="149">
      <c r="Q149" s="20" t="n"/>
      <c r="R149" s="20" t="n"/>
      <c r="S149" s="21" t="n"/>
      <c r="U149" s="21" t="n"/>
      <c r="V149" s="22" t="n"/>
      <c r="X149" s="23">
        <f>IF(OR($S149="",$R149=""),"",ROUND(MAX(0,IF($W149="Straight-line",IF(N($V149)&lt;=0,0,($S149-N($U149))*MIN($AJ149,$V149)/$V149),IF($W149="Reducing balance",MIN(($S149-N($U149)),$S149-$S149*(1-N($AG149))^INT($AJ149/12)*(1-N($AG149)*MOD($AJ149,12)/12)),IF($W149="DDB",IF(N($V149)&lt;=0,0,MIN(($S149-N($U149)),$S149-$S149*(1-MIN(1,24/$V149))^INT($AJ149/12)*(1-MIN(1,24/$V149)*MOD($AJ149,12)/12))),IF($W149="SYD",IF(N($V149)&lt;=0,0,($S149-N($U149))*(INT(MIN($AJ149,$V149)/12)*(2*($V149/12)-INT(MIN($AJ149,$V149)/12)+1)/2+MOD(MIN($AJ149,$V149),12)/12*(($V149/12)-INT(MIN($AJ149,$V149)/12)))/(($V149/12)*(($V149/12)+1)/2)),0))))),2))</f>
        <v/>
      </c>
      <c r="Y149" s="23">
        <f>IF($X149="","",$S149-$X149)</f>
        <v/>
      </c>
      <c r="AD149" s="20" t="n"/>
      <c r="AG149" s="24" t="n"/>
      <c r="AH149" s="20" t="n"/>
      <c r="AI149" s="21" t="n"/>
      <c r="AJ149" s="25">
        <f>IF($R149="","",IF($R149&gt;IF($AH149&lt;&gt;"",MIN($AH149,Settings!$B$3),Settings!$B$3),0,(YEAR(IF($AH149&lt;&gt;"",MIN($AH149,Settings!$B$3),Settings!$B$3))-YEAR($R149))*12+MONTH(IF($AH149&lt;&gt;"",MIN($AH149,Settings!$B$3),Settings!$B$3))-MONTH($R149)+1))</f>
        <v/>
      </c>
      <c r="AK149" s="25">
        <f>IF($R149="","",IF($R149&gt;MIN(Settings!$B$4-1,IF($AH149&lt;&gt;"",MIN($AH149,Settings!$B$3),Settings!$B$3)),0,(YEAR(MIN(Settings!$B$4-1,IF($AH149&lt;&gt;"",MIN($AH149,Settings!$B$3),Settings!$B$3)))-YEAR($R149))*12+MONTH(MIN(Settings!$B$4-1,IF($AH149&lt;&gt;"",MIN($AH149,Settings!$B$3),Settings!$B$3)))-MONTH($R149)+1))</f>
        <v/>
      </c>
      <c r="AL149" s="23">
        <f>IF(OR($S149="",$R149=""),"",ROUND(MAX(0,IF($W149="Straight-line",IF(N($V149)&lt;=0,0,($S149-N($U149))*MIN($AK149,$V149)/$V149),IF($W149="Reducing balance",MIN(($S149-N($U149)),$S149-$S149*(1-N($AG149))^INT($AK149/12)*(1-N($AG149)*MOD($AK149,12)/12)),IF($W149="DDB",IF(N($V149)&lt;=0,0,MIN(($S149-N($U149)),$S149-$S149*(1-MIN(1,24/$V149))^INT($AK149/12)*(1-MIN(1,24/$V149)*MOD($AK149,12)/12))),IF($W149="SYD",IF(N($V149)&lt;=0,0,($S149-N($U149))*(INT(MIN($AK149,$V149)/12)*(2*($V149/12)-INT(MIN($AK149,$V149)/12)+1)/2+MOD(MIN($AK149,$V149),12)/12*(($V149/12)-INT(MIN($AK149,$V149)/12)))/(($V149/12)*(($V149/12)+1)/2)),0))))),2))</f>
        <v/>
      </c>
      <c r="AM149" s="23">
        <f>IF($X149="","",$X149-$AL149)</f>
        <v/>
      </c>
      <c r="AN149" s="23">
        <f>IF(OR($AH149="",$Y149=""),"",N($AI149)-$Y149)</f>
        <v/>
      </c>
    </row>
    <row r="150">
      <c r="Q150" s="20" t="n"/>
      <c r="R150" s="20" t="n"/>
      <c r="S150" s="21" t="n"/>
      <c r="U150" s="21" t="n"/>
      <c r="V150" s="22" t="n"/>
      <c r="X150" s="23">
        <f>IF(OR($S150="",$R150=""),"",ROUND(MAX(0,IF($W150="Straight-line",IF(N($V150)&lt;=0,0,($S150-N($U150))*MIN($AJ150,$V150)/$V150),IF($W150="Reducing balance",MIN(($S150-N($U150)),$S150-$S150*(1-N($AG150))^INT($AJ150/12)*(1-N($AG150)*MOD($AJ150,12)/12)),IF($W150="DDB",IF(N($V150)&lt;=0,0,MIN(($S150-N($U150)),$S150-$S150*(1-MIN(1,24/$V150))^INT($AJ150/12)*(1-MIN(1,24/$V150)*MOD($AJ150,12)/12))),IF($W150="SYD",IF(N($V150)&lt;=0,0,($S150-N($U150))*(INT(MIN($AJ150,$V150)/12)*(2*($V150/12)-INT(MIN($AJ150,$V150)/12)+1)/2+MOD(MIN($AJ150,$V150),12)/12*(($V150/12)-INT(MIN($AJ150,$V150)/12)))/(($V150/12)*(($V150/12)+1)/2)),0))))),2))</f>
        <v/>
      </c>
      <c r="Y150" s="23">
        <f>IF($X150="","",$S150-$X150)</f>
        <v/>
      </c>
      <c r="AD150" s="20" t="n"/>
      <c r="AG150" s="24" t="n"/>
      <c r="AH150" s="20" t="n"/>
      <c r="AI150" s="21" t="n"/>
      <c r="AJ150" s="25">
        <f>IF($R150="","",IF($R150&gt;IF($AH150&lt;&gt;"",MIN($AH150,Settings!$B$3),Settings!$B$3),0,(YEAR(IF($AH150&lt;&gt;"",MIN($AH150,Settings!$B$3),Settings!$B$3))-YEAR($R150))*12+MONTH(IF($AH150&lt;&gt;"",MIN($AH150,Settings!$B$3),Settings!$B$3))-MONTH($R150)+1))</f>
        <v/>
      </c>
      <c r="AK150" s="25">
        <f>IF($R150="","",IF($R150&gt;MIN(Settings!$B$4-1,IF($AH150&lt;&gt;"",MIN($AH150,Settings!$B$3),Settings!$B$3)),0,(YEAR(MIN(Settings!$B$4-1,IF($AH150&lt;&gt;"",MIN($AH150,Settings!$B$3),Settings!$B$3)))-YEAR($R150))*12+MONTH(MIN(Settings!$B$4-1,IF($AH150&lt;&gt;"",MIN($AH150,Settings!$B$3),Settings!$B$3)))-MONTH($R150)+1))</f>
        <v/>
      </c>
      <c r="AL150" s="23">
        <f>IF(OR($S150="",$R150=""),"",ROUND(MAX(0,IF($W150="Straight-line",IF(N($V150)&lt;=0,0,($S150-N($U150))*MIN($AK150,$V150)/$V150),IF($W150="Reducing balance",MIN(($S150-N($U150)),$S150-$S150*(1-N($AG150))^INT($AK150/12)*(1-N($AG150)*MOD($AK150,12)/12)),IF($W150="DDB",IF(N($V150)&lt;=0,0,MIN(($S150-N($U150)),$S150-$S150*(1-MIN(1,24/$V150))^INT($AK150/12)*(1-MIN(1,24/$V150)*MOD($AK150,12)/12))),IF($W150="SYD",IF(N($V150)&lt;=0,0,($S150-N($U150))*(INT(MIN($AK150,$V150)/12)*(2*($V150/12)-INT(MIN($AK150,$V150)/12)+1)/2+MOD(MIN($AK150,$V150),12)/12*(($V150/12)-INT(MIN($AK150,$V150)/12)))/(($V150/12)*(($V150/12)+1)/2)),0))))),2))</f>
        <v/>
      </c>
      <c r="AM150" s="23">
        <f>IF($X150="","",$X150-$AL150)</f>
        <v/>
      </c>
      <c r="AN150" s="23">
        <f>IF(OR($AH150="",$Y150=""),"",N($AI150)-$Y150)</f>
        <v/>
      </c>
    </row>
    <row r="151">
      <c r="Q151" s="20" t="n"/>
      <c r="R151" s="20" t="n"/>
      <c r="S151" s="21" t="n"/>
      <c r="U151" s="21" t="n"/>
      <c r="V151" s="22" t="n"/>
      <c r="X151" s="23">
        <f>IF(OR($S151="",$R151=""),"",ROUND(MAX(0,IF($W151="Straight-line",IF(N($V151)&lt;=0,0,($S151-N($U151))*MIN($AJ151,$V151)/$V151),IF($W151="Reducing balance",MIN(($S151-N($U151)),$S151-$S151*(1-N($AG151))^INT($AJ151/12)*(1-N($AG151)*MOD($AJ151,12)/12)),IF($W151="DDB",IF(N($V151)&lt;=0,0,MIN(($S151-N($U151)),$S151-$S151*(1-MIN(1,24/$V151))^INT($AJ151/12)*(1-MIN(1,24/$V151)*MOD($AJ151,12)/12))),IF($W151="SYD",IF(N($V151)&lt;=0,0,($S151-N($U151))*(INT(MIN($AJ151,$V151)/12)*(2*($V151/12)-INT(MIN($AJ151,$V151)/12)+1)/2+MOD(MIN($AJ151,$V151),12)/12*(($V151/12)-INT(MIN($AJ151,$V151)/12)))/(($V151/12)*(($V151/12)+1)/2)),0))))),2))</f>
        <v/>
      </c>
      <c r="Y151" s="23">
        <f>IF($X151="","",$S151-$X151)</f>
        <v/>
      </c>
      <c r="AD151" s="20" t="n"/>
      <c r="AG151" s="24" t="n"/>
      <c r="AH151" s="20" t="n"/>
      <c r="AI151" s="21" t="n"/>
      <c r="AJ151" s="25">
        <f>IF($R151="","",IF($R151&gt;IF($AH151&lt;&gt;"",MIN($AH151,Settings!$B$3),Settings!$B$3),0,(YEAR(IF($AH151&lt;&gt;"",MIN($AH151,Settings!$B$3),Settings!$B$3))-YEAR($R151))*12+MONTH(IF($AH151&lt;&gt;"",MIN($AH151,Settings!$B$3),Settings!$B$3))-MONTH($R151)+1))</f>
        <v/>
      </c>
      <c r="AK151" s="25">
        <f>IF($R151="","",IF($R151&gt;MIN(Settings!$B$4-1,IF($AH151&lt;&gt;"",MIN($AH151,Settings!$B$3),Settings!$B$3)),0,(YEAR(MIN(Settings!$B$4-1,IF($AH151&lt;&gt;"",MIN($AH151,Settings!$B$3),Settings!$B$3)))-YEAR($R151))*12+MONTH(MIN(Settings!$B$4-1,IF($AH151&lt;&gt;"",MIN($AH151,Settings!$B$3),Settings!$B$3)))-MONTH($R151)+1))</f>
        <v/>
      </c>
      <c r="AL151" s="23">
        <f>IF(OR($S151="",$R151=""),"",ROUND(MAX(0,IF($W151="Straight-line",IF(N($V151)&lt;=0,0,($S151-N($U151))*MIN($AK151,$V151)/$V151),IF($W151="Reducing balance",MIN(($S151-N($U151)),$S151-$S151*(1-N($AG151))^INT($AK151/12)*(1-N($AG151)*MOD($AK151,12)/12)),IF($W151="DDB",IF(N($V151)&lt;=0,0,MIN(($S151-N($U151)),$S151-$S151*(1-MIN(1,24/$V151))^INT($AK151/12)*(1-MIN(1,24/$V151)*MOD($AK151,12)/12))),IF($W151="SYD",IF(N($V151)&lt;=0,0,($S151-N($U151))*(INT(MIN($AK151,$V151)/12)*(2*($V151/12)-INT(MIN($AK151,$V151)/12)+1)/2+MOD(MIN($AK151,$V151),12)/12*(($V151/12)-INT(MIN($AK151,$V151)/12)))/(($V151/12)*(($V151/12)+1)/2)),0))))),2))</f>
        <v/>
      </c>
      <c r="AM151" s="23">
        <f>IF($X151="","",$X151-$AL151)</f>
        <v/>
      </c>
      <c r="AN151" s="23">
        <f>IF(OR($AH151="",$Y151=""),"",N($AI151)-$Y151)</f>
        <v/>
      </c>
    </row>
    <row r="152">
      <c r="Q152" s="20" t="n"/>
      <c r="R152" s="20" t="n"/>
      <c r="S152" s="21" t="n"/>
      <c r="U152" s="21" t="n"/>
      <c r="V152" s="22" t="n"/>
      <c r="X152" s="23">
        <f>IF(OR($S152="",$R152=""),"",ROUND(MAX(0,IF($W152="Straight-line",IF(N($V152)&lt;=0,0,($S152-N($U152))*MIN($AJ152,$V152)/$V152),IF($W152="Reducing balance",MIN(($S152-N($U152)),$S152-$S152*(1-N($AG152))^INT($AJ152/12)*(1-N($AG152)*MOD($AJ152,12)/12)),IF($W152="DDB",IF(N($V152)&lt;=0,0,MIN(($S152-N($U152)),$S152-$S152*(1-MIN(1,24/$V152))^INT($AJ152/12)*(1-MIN(1,24/$V152)*MOD($AJ152,12)/12))),IF($W152="SYD",IF(N($V152)&lt;=0,0,($S152-N($U152))*(INT(MIN($AJ152,$V152)/12)*(2*($V152/12)-INT(MIN($AJ152,$V152)/12)+1)/2+MOD(MIN($AJ152,$V152),12)/12*(($V152/12)-INT(MIN($AJ152,$V152)/12)))/(($V152/12)*(($V152/12)+1)/2)),0))))),2))</f>
        <v/>
      </c>
      <c r="Y152" s="23">
        <f>IF($X152="","",$S152-$X152)</f>
        <v/>
      </c>
      <c r="AD152" s="20" t="n"/>
      <c r="AG152" s="24" t="n"/>
      <c r="AH152" s="20" t="n"/>
      <c r="AI152" s="21" t="n"/>
      <c r="AJ152" s="25">
        <f>IF($R152="","",IF($R152&gt;IF($AH152&lt;&gt;"",MIN($AH152,Settings!$B$3),Settings!$B$3),0,(YEAR(IF($AH152&lt;&gt;"",MIN($AH152,Settings!$B$3),Settings!$B$3))-YEAR($R152))*12+MONTH(IF($AH152&lt;&gt;"",MIN($AH152,Settings!$B$3),Settings!$B$3))-MONTH($R152)+1))</f>
        <v/>
      </c>
      <c r="AK152" s="25">
        <f>IF($R152="","",IF($R152&gt;MIN(Settings!$B$4-1,IF($AH152&lt;&gt;"",MIN($AH152,Settings!$B$3),Settings!$B$3)),0,(YEAR(MIN(Settings!$B$4-1,IF($AH152&lt;&gt;"",MIN($AH152,Settings!$B$3),Settings!$B$3)))-YEAR($R152))*12+MONTH(MIN(Settings!$B$4-1,IF($AH152&lt;&gt;"",MIN($AH152,Settings!$B$3),Settings!$B$3)))-MONTH($R152)+1))</f>
        <v/>
      </c>
      <c r="AL152" s="23">
        <f>IF(OR($S152="",$R152=""),"",ROUND(MAX(0,IF($W152="Straight-line",IF(N($V152)&lt;=0,0,($S152-N($U152))*MIN($AK152,$V152)/$V152),IF($W152="Reducing balance",MIN(($S152-N($U152)),$S152-$S152*(1-N($AG152))^INT($AK152/12)*(1-N($AG152)*MOD($AK152,12)/12)),IF($W152="DDB",IF(N($V152)&lt;=0,0,MIN(($S152-N($U152)),$S152-$S152*(1-MIN(1,24/$V152))^INT($AK152/12)*(1-MIN(1,24/$V152)*MOD($AK152,12)/12))),IF($W152="SYD",IF(N($V152)&lt;=0,0,($S152-N($U152))*(INT(MIN($AK152,$V152)/12)*(2*($V152/12)-INT(MIN($AK152,$V152)/12)+1)/2+MOD(MIN($AK152,$V152),12)/12*(($V152/12)-INT(MIN($AK152,$V152)/12)))/(($V152/12)*(($V152/12)+1)/2)),0))))),2))</f>
        <v/>
      </c>
      <c r="AM152" s="23">
        <f>IF($X152="","",$X152-$AL152)</f>
        <v/>
      </c>
      <c r="AN152" s="23">
        <f>IF(OR($AH152="",$Y152=""),"",N($AI152)-$Y152)</f>
        <v/>
      </c>
    </row>
    <row r="153">
      <c r="Q153" s="20" t="n"/>
      <c r="R153" s="20" t="n"/>
      <c r="S153" s="21" t="n"/>
      <c r="U153" s="21" t="n"/>
      <c r="V153" s="22" t="n"/>
      <c r="X153" s="23">
        <f>IF(OR($S153="",$R153=""),"",ROUND(MAX(0,IF($W153="Straight-line",IF(N($V153)&lt;=0,0,($S153-N($U153))*MIN($AJ153,$V153)/$V153),IF($W153="Reducing balance",MIN(($S153-N($U153)),$S153-$S153*(1-N($AG153))^INT($AJ153/12)*(1-N($AG153)*MOD($AJ153,12)/12)),IF($W153="DDB",IF(N($V153)&lt;=0,0,MIN(($S153-N($U153)),$S153-$S153*(1-MIN(1,24/$V153))^INT($AJ153/12)*(1-MIN(1,24/$V153)*MOD($AJ153,12)/12))),IF($W153="SYD",IF(N($V153)&lt;=0,0,($S153-N($U153))*(INT(MIN($AJ153,$V153)/12)*(2*($V153/12)-INT(MIN($AJ153,$V153)/12)+1)/2+MOD(MIN($AJ153,$V153),12)/12*(($V153/12)-INT(MIN($AJ153,$V153)/12)))/(($V153/12)*(($V153/12)+1)/2)),0))))),2))</f>
        <v/>
      </c>
      <c r="Y153" s="23">
        <f>IF($X153="","",$S153-$X153)</f>
        <v/>
      </c>
      <c r="AD153" s="20" t="n"/>
      <c r="AG153" s="24" t="n"/>
      <c r="AH153" s="20" t="n"/>
      <c r="AI153" s="21" t="n"/>
      <c r="AJ153" s="25">
        <f>IF($R153="","",IF($R153&gt;IF($AH153&lt;&gt;"",MIN($AH153,Settings!$B$3),Settings!$B$3),0,(YEAR(IF($AH153&lt;&gt;"",MIN($AH153,Settings!$B$3),Settings!$B$3))-YEAR($R153))*12+MONTH(IF($AH153&lt;&gt;"",MIN($AH153,Settings!$B$3),Settings!$B$3))-MONTH($R153)+1))</f>
        <v/>
      </c>
      <c r="AK153" s="25">
        <f>IF($R153="","",IF($R153&gt;MIN(Settings!$B$4-1,IF($AH153&lt;&gt;"",MIN($AH153,Settings!$B$3),Settings!$B$3)),0,(YEAR(MIN(Settings!$B$4-1,IF($AH153&lt;&gt;"",MIN($AH153,Settings!$B$3),Settings!$B$3)))-YEAR($R153))*12+MONTH(MIN(Settings!$B$4-1,IF($AH153&lt;&gt;"",MIN($AH153,Settings!$B$3),Settings!$B$3)))-MONTH($R153)+1))</f>
        <v/>
      </c>
      <c r="AL153" s="23">
        <f>IF(OR($S153="",$R153=""),"",ROUND(MAX(0,IF($W153="Straight-line",IF(N($V153)&lt;=0,0,($S153-N($U153))*MIN($AK153,$V153)/$V153),IF($W153="Reducing balance",MIN(($S153-N($U153)),$S153-$S153*(1-N($AG153))^INT($AK153/12)*(1-N($AG153)*MOD($AK153,12)/12)),IF($W153="DDB",IF(N($V153)&lt;=0,0,MIN(($S153-N($U153)),$S153-$S153*(1-MIN(1,24/$V153))^INT($AK153/12)*(1-MIN(1,24/$V153)*MOD($AK153,12)/12))),IF($W153="SYD",IF(N($V153)&lt;=0,0,($S153-N($U153))*(INT(MIN($AK153,$V153)/12)*(2*($V153/12)-INT(MIN($AK153,$V153)/12)+1)/2+MOD(MIN($AK153,$V153),12)/12*(($V153/12)-INT(MIN($AK153,$V153)/12)))/(($V153/12)*(($V153/12)+1)/2)),0))))),2))</f>
        <v/>
      </c>
      <c r="AM153" s="23">
        <f>IF($X153="","",$X153-$AL153)</f>
        <v/>
      </c>
      <c r="AN153" s="23">
        <f>IF(OR($AH153="",$Y153=""),"",N($AI153)-$Y153)</f>
        <v/>
      </c>
    </row>
    <row r="154">
      <c r="Q154" s="20" t="n"/>
      <c r="R154" s="20" t="n"/>
      <c r="S154" s="21" t="n"/>
      <c r="U154" s="21" t="n"/>
      <c r="V154" s="22" t="n"/>
      <c r="X154" s="23">
        <f>IF(OR($S154="",$R154=""),"",ROUND(MAX(0,IF($W154="Straight-line",IF(N($V154)&lt;=0,0,($S154-N($U154))*MIN($AJ154,$V154)/$V154),IF($W154="Reducing balance",MIN(($S154-N($U154)),$S154-$S154*(1-N($AG154))^INT($AJ154/12)*(1-N($AG154)*MOD($AJ154,12)/12)),IF($W154="DDB",IF(N($V154)&lt;=0,0,MIN(($S154-N($U154)),$S154-$S154*(1-MIN(1,24/$V154))^INT($AJ154/12)*(1-MIN(1,24/$V154)*MOD($AJ154,12)/12))),IF($W154="SYD",IF(N($V154)&lt;=0,0,($S154-N($U154))*(INT(MIN($AJ154,$V154)/12)*(2*($V154/12)-INT(MIN($AJ154,$V154)/12)+1)/2+MOD(MIN($AJ154,$V154),12)/12*(($V154/12)-INT(MIN($AJ154,$V154)/12)))/(($V154/12)*(($V154/12)+1)/2)),0))))),2))</f>
        <v/>
      </c>
      <c r="Y154" s="23">
        <f>IF($X154="","",$S154-$X154)</f>
        <v/>
      </c>
      <c r="AD154" s="20" t="n"/>
      <c r="AG154" s="24" t="n"/>
      <c r="AH154" s="20" t="n"/>
      <c r="AI154" s="21" t="n"/>
      <c r="AJ154" s="25">
        <f>IF($R154="","",IF($R154&gt;IF($AH154&lt;&gt;"",MIN($AH154,Settings!$B$3),Settings!$B$3),0,(YEAR(IF($AH154&lt;&gt;"",MIN($AH154,Settings!$B$3),Settings!$B$3))-YEAR($R154))*12+MONTH(IF($AH154&lt;&gt;"",MIN($AH154,Settings!$B$3),Settings!$B$3))-MONTH($R154)+1))</f>
        <v/>
      </c>
      <c r="AK154" s="25">
        <f>IF($R154="","",IF($R154&gt;MIN(Settings!$B$4-1,IF($AH154&lt;&gt;"",MIN($AH154,Settings!$B$3),Settings!$B$3)),0,(YEAR(MIN(Settings!$B$4-1,IF($AH154&lt;&gt;"",MIN($AH154,Settings!$B$3),Settings!$B$3)))-YEAR($R154))*12+MONTH(MIN(Settings!$B$4-1,IF($AH154&lt;&gt;"",MIN($AH154,Settings!$B$3),Settings!$B$3)))-MONTH($R154)+1))</f>
        <v/>
      </c>
      <c r="AL154" s="23">
        <f>IF(OR($S154="",$R154=""),"",ROUND(MAX(0,IF($W154="Straight-line",IF(N($V154)&lt;=0,0,($S154-N($U154))*MIN($AK154,$V154)/$V154),IF($W154="Reducing balance",MIN(($S154-N($U154)),$S154-$S154*(1-N($AG154))^INT($AK154/12)*(1-N($AG154)*MOD($AK154,12)/12)),IF($W154="DDB",IF(N($V154)&lt;=0,0,MIN(($S154-N($U154)),$S154-$S154*(1-MIN(1,24/$V154))^INT($AK154/12)*(1-MIN(1,24/$V154)*MOD($AK154,12)/12))),IF($W154="SYD",IF(N($V154)&lt;=0,0,($S154-N($U154))*(INT(MIN($AK154,$V154)/12)*(2*($V154/12)-INT(MIN($AK154,$V154)/12)+1)/2+MOD(MIN($AK154,$V154),12)/12*(($V154/12)-INT(MIN($AK154,$V154)/12)))/(($V154/12)*(($V154/12)+1)/2)),0))))),2))</f>
        <v/>
      </c>
      <c r="AM154" s="23">
        <f>IF($X154="","",$X154-$AL154)</f>
        <v/>
      </c>
      <c r="AN154" s="23">
        <f>IF(OR($AH154="",$Y154=""),"",N($AI154)-$Y154)</f>
        <v/>
      </c>
    </row>
    <row r="155">
      <c r="Q155" s="20" t="n"/>
      <c r="R155" s="20" t="n"/>
      <c r="S155" s="21" t="n"/>
      <c r="U155" s="21" t="n"/>
      <c r="V155" s="22" t="n"/>
      <c r="X155" s="23">
        <f>IF(OR($S155="",$R155=""),"",ROUND(MAX(0,IF($W155="Straight-line",IF(N($V155)&lt;=0,0,($S155-N($U155))*MIN($AJ155,$V155)/$V155),IF($W155="Reducing balance",MIN(($S155-N($U155)),$S155-$S155*(1-N($AG155))^INT($AJ155/12)*(1-N($AG155)*MOD($AJ155,12)/12)),IF($W155="DDB",IF(N($V155)&lt;=0,0,MIN(($S155-N($U155)),$S155-$S155*(1-MIN(1,24/$V155))^INT($AJ155/12)*(1-MIN(1,24/$V155)*MOD($AJ155,12)/12))),IF($W155="SYD",IF(N($V155)&lt;=0,0,($S155-N($U155))*(INT(MIN($AJ155,$V155)/12)*(2*($V155/12)-INT(MIN($AJ155,$V155)/12)+1)/2+MOD(MIN($AJ155,$V155),12)/12*(($V155/12)-INT(MIN($AJ155,$V155)/12)))/(($V155/12)*(($V155/12)+1)/2)),0))))),2))</f>
        <v/>
      </c>
      <c r="Y155" s="23">
        <f>IF($X155="","",$S155-$X155)</f>
        <v/>
      </c>
      <c r="AD155" s="20" t="n"/>
      <c r="AG155" s="24" t="n"/>
      <c r="AH155" s="20" t="n"/>
      <c r="AI155" s="21" t="n"/>
      <c r="AJ155" s="25">
        <f>IF($R155="","",IF($R155&gt;IF($AH155&lt;&gt;"",MIN($AH155,Settings!$B$3),Settings!$B$3),0,(YEAR(IF($AH155&lt;&gt;"",MIN($AH155,Settings!$B$3),Settings!$B$3))-YEAR($R155))*12+MONTH(IF($AH155&lt;&gt;"",MIN($AH155,Settings!$B$3),Settings!$B$3))-MONTH($R155)+1))</f>
        <v/>
      </c>
      <c r="AK155" s="25">
        <f>IF($R155="","",IF($R155&gt;MIN(Settings!$B$4-1,IF($AH155&lt;&gt;"",MIN($AH155,Settings!$B$3),Settings!$B$3)),0,(YEAR(MIN(Settings!$B$4-1,IF($AH155&lt;&gt;"",MIN($AH155,Settings!$B$3),Settings!$B$3)))-YEAR($R155))*12+MONTH(MIN(Settings!$B$4-1,IF($AH155&lt;&gt;"",MIN($AH155,Settings!$B$3),Settings!$B$3)))-MONTH($R155)+1))</f>
        <v/>
      </c>
      <c r="AL155" s="23">
        <f>IF(OR($S155="",$R155=""),"",ROUND(MAX(0,IF($W155="Straight-line",IF(N($V155)&lt;=0,0,($S155-N($U155))*MIN($AK155,$V155)/$V155),IF($W155="Reducing balance",MIN(($S155-N($U155)),$S155-$S155*(1-N($AG155))^INT($AK155/12)*(1-N($AG155)*MOD($AK155,12)/12)),IF($W155="DDB",IF(N($V155)&lt;=0,0,MIN(($S155-N($U155)),$S155-$S155*(1-MIN(1,24/$V155))^INT($AK155/12)*(1-MIN(1,24/$V155)*MOD($AK155,12)/12))),IF($W155="SYD",IF(N($V155)&lt;=0,0,($S155-N($U155))*(INT(MIN($AK155,$V155)/12)*(2*($V155/12)-INT(MIN($AK155,$V155)/12)+1)/2+MOD(MIN($AK155,$V155),12)/12*(($V155/12)-INT(MIN($AK155,$V155)/12)))/(($V155/12)*(($V155/12)+1)/2)),0))))),2))</f>
        <v/>
      </c>
      <c r="AM155" s="23">
        <f>IF($X155="","",$X155-$AL155)</f>
        <v/>
      </c>
      <c r="AN155" s="23">
        <f>IF(OR($AH155="",$Y155=""),"",N($AI155)-$Y155)</f>
        <v/>
      </c>
    </row>
    <row r="156">
      <c r="Q156" s="20" t="n"/>
      <c r="R156" s="20" t="n"/>
      <c r="S156" s="21" t="n"/>
      <c r="U156" s="21" t="n"/>
      <c r="V156" s="22" t="n"/>
      <c r="X156" s="23">
        <f>IF(OR($S156="",$R156=""),"",ROUND(MAX(0,IF($W156="Straight-line",IF(N($V156)&lt;=0,0,($S156-N($U156))*MIN($AJ156,$V156)/$V156),IF($W156="Reducing balance",MIN(($S156-N($U156)),$S156-$S156*(1-N($AG156))^INT($AJ156/12)*(1-N($AG156)*MOD($AJ156,12)/12)),IF($W156="DDB",IF(N($V156)&lt;=0,0,MIN(($S156-N($U156)),$S156-$S156*(1-MIN(1,24/$V156))^INT($AJ156/12)*(1-MIN(1,24/$V156)*MOD($AJ156,12)/12))),IF($W156="SYD",IF(N($V156)&lt;=0,0,($S156-N($U156))*(INT(MIN($AJ156,$V156)/12)*(2*($V156/12)-INT(MIN($AJ156,$V156)/12)+1)/2+MOD(MIN($AJ156,$V156),12)/12*(($V156/12)-INT(MIN($AJ156,$V156)/12)))/(($V156/12)*(($V156/12)+1)/2)),0))))),2))</f>
        <v/>
      </c>
      <c r="Y156" s="23">
        <f>IF($X156="","",$S156-$X156)</f>
        <v/>
      </c>
      <c r="AD156" s="20" t="n"/>
      <c r="AG156" s="24" t="n"/>
      <c r="AH156" s="20" t="n"/>
      <c r="AI156" s="21" t="n"/>
      <c r="AJ156" s="25">
        <f>IF($R156="","",IF($R156&gt;IF($AH156&lt;&gt;"",MIN($AH156,Settings!$B$3),Settings!$B$3),0,(YEAR(IF($AH156&lt;&gt;"",MIN($AH156,Settings!$B$3),Settings!$B$3))-YEAR($R156))*12+MONTH(IF($AH156&lt;&gt;"",MIN($AH156,Settings!$B$3),Settings!$B$3))-MONTH($R156)+1))</f>
        <v/>
      </c>
      <c r="AK156" s="25">
        <f>IF($R156="","",IF($R156&gt;MIN(Settings!$B$4-1,IF($AH156&lt;&gt;"",MIN($AH156,Settings!$B$3),Settings!$B$3)),0,(YEAR(MIN(Settings!$B$4-1,IF($AH156&lt;&gt;"",MIN($AH156,Settings!$B$3),Settings!$B$3)))-YEAR($R156))*12+MONTH(MIN(Settings!$B$4-1,IF($AH156&lt;&gt;"",MIN($AH156,Settings!$B$3),Settings!$B$3)))-MONTH($R156)+1))</f>
        <v/>
      </c>
      <c r="AL156" s="23">
        <f>IF(OR($S156="",$R156=""),"",ROUND(MAX(0,IF($W156="Straight-line",IF(N($V156)&lt;=0,0,($S156-N($U156))*MIN($AK156,$V156)/$V156),IF($W156="Reducing balance",MIN(($S156-N($U156)),$S156-$S156*(1-N($AG156))^INT($AK156/12)*(1-N($AG156)*MOD($AK156,12)/12)),IF($W156="DDB",IF(N($V156)&lt;=0,0,MIN(($S156-N($U156)),$S156-$S156*(1-MIN(1,24/$V156))^INT($AK156/12)*(1-MIN(1,24/$V156)*MOD($AK156,12)/12))),IF($W156="SYD",IF(N($V156)&lt;=0,0,($S156-N($U156))*(INT(MIN($AK156,$V156)/12)*(2*($V156/12)-INT(MIN($AK156,$V156)/12)+1)/2+MOD(MIN($AK156,$V156),12)/12*(($V156/12)-INT(MIN($AK156,$V156)/12)))/(($V156/12)*(($V156/12)+1)/2)),0))))),2))</f>
        <v/>
      </c>
      <c r="AM156" s="23">
        <f>IF($X156="","",$X156-$AL156)</f>
        <v/>
      </c>
      <c r="AN156" s="23">
        <f>IF(OR($AH156="",$Y156=""),"",N($AI156)-$Y156)</f>
        <v/>
      </c>
    </row>
    <row r="157">
      <c r="Q157" s="20" t="n"/>
      <c r="R157" s="20" t="n"/>
      <c r="S157" s="21" t="n"/>
      <c r="U157" s="21" t="n"/>
      <c r="V157" s="22" t="n"/>
      <c r="X157" s="23">
        <f>IF(OR($S157="",$R157=""),"",ROUND(MAX(0,IF($W157="Straight-line",IF(N($V157)&lt;=0,0,($S157-N($U157))*MIN($AJ157,$V157)/$V157),IF($W157="Reducing balance",MIN(($S157-N($U157)),$S157-$S157*(1-N($AG157))^INT($AJ157/12)*(1-N($AG157)*MOD($AJ157,12)/12)),IF($W157="DDB",IF(N($V157)&lt;=0,0,MIN(($S157-N($U157)),$S157-$S157*(1-MIN(1,24/$V157))^INT($AJ157/12)*(1-MIN(1,24/$V157)*MOD($AJ157,12)/12))),IF($W157="SYD",IF(N($V157)&lt;=0,0,($S157-N($U157))*(INT(MIN($AJ157,$V157)/12)*(2*($V157/12)-INT(MIN($AJ157,$V157)/12)+1)/2+MOD(MIN($AJ157,$V157),12)/12*(($V157/12)-INT(MIN($AJ157,$V157)/12)))/(($V157/12)*(($V157/12)+1)/2)),0))))),2))</f>
        <v/>
      </c>
      <c r="Y157" s="23">
        <f>IF($X157="","",$S157-$X157)</f>
        <v/>
      </c>
      <c r="AD157" s="20" t="n"/>
      <c r="AG157" s="24" t="n"/>
      <c r="AH157" s="20" t="n"/>
      <c r="AI157" s="21" t="n"/>
      <c r="AJ157" s="25">
        <f>IF($R157="","",IF($R157&gt;IF($AH157&lt;&gt;"",MIN($AH157,Settings!$B$3),Settings!$B$3),0,(YEAR(IF($AH157&lt;&gt;"",MIN($AH157,Settings!$B$3),Settings!$B$3))-YEAR($R157))*12+MONTH(IF($AH157&lt;&gt;"",MIN($AH157,Settings!$B$3),Settings!$B$3))-MONTH($R157)+1))</f>
        <v/>
      </c>
      <c r="AK157" s="25">
        <f>IF($R157="","",IF($R157&gt;MIN(Settings!$B$4-1,IF($AH157&lt;&gt;"",MIN($AH157,Settings!$B$3),Settings!$B$3)),0,(YEAR(MIN(Settings!$B$4-1,IF($AH157&lt;&gt;"",MIN($AH157,Settings!$B$3),Settings!$B$3)))-YEAR($R157))*12+MONTH(MIN(Settings!$B$4-1,IF($AH157&lt;&gt;"",MIN($AH157,Settings!$B$3),Settings!$B$3)))-MONTH($R157)+1))</f>
        <v/>
      </c>
      <c r="AL157" s="23">
        <f>IF(OR($S157="",$R157=""),"",ROUND(MAX(0,IF($W157="Straight-line",IF(N($V157)&lt;=0,0,($S157-N($U157))*MIN($AK157,$V157)/$V157),IF($W157="Reducing balance",MIN(($S157-N($U157)),$S157-$S157*(1-N($AG157))^INT($AK157/12)*(1-N($AG157)*MOD($AK157,12)/12)),IF($W157="DDB",IF(N($V157)&lt;=0,0,MIN(($S157-N($U157)),$S157-$S157*(1-MIN(1,24/$V157))^INT($AK157/12)*(1-MIN(1,24/$V157)*MOD($AK157,12)/12))),IF($W157="SYD",IF(N($V157)&lt;=0,0,($S157-N($U157))*(INT(MIN($AK157,$V157)/12)*(2*($V157/12)-INT(MIN($AK157,$V157)/12)+1)/2+MOD(MIN($AK157,$V157),12)/12*(($V157/12)-INT(MIN($AK157,$V157)/12)))/(($V157/12)*(($V157/12)+1)/2)),0))))),2))</f>
        <v/>
      </c>
      <c r="AM157" s="23">
        <f>IF($X157="","",$X157-$AL157)</f>
        <v/>
      </c>
      <c r="AN157" s="23">
        <f>IF(OR($AH157="",$Y157=""),"",N($AI157)-$Y157)</f>
        <v/>
      </c>
    </row>
    <row r="158">
      <c r="Q158" s="20" t="n"/>
      <c r="R158" s="20" t="n"/>
      <c r="S158" s="21" t="n"/>
      <c r="U158" s="21" t="n"/>
      <c r="V158" s="22" t="n"/>
      <c r="X158" s="23">
        <f>IF(OR($S158="",$R158=""),"",ROUND(MAX(0,IF($W158="Straight-line",IF(N($V158)&lt;=0,0,($S158-N($U158))*MIN($AJ158,$V158)/$V158),IF($W158="Reducing balance",MIN(($S158-N($U158)),$S158-$S158*(1-N($AG158))^INT($AJ158/12)*(1-N($AG158)*MOD($AJ158,12)/12)),IF($W158="DDB",IF(N($V158)&lt;=0,0,MIN(($S158-N($U158)),$S158-$S158*(1-MIN(1,24/$V158))^INT($AJ158/12)*(1-MIN(1,24/$V158)*MOD($AJ158,12)/12))),IF($W158="SYD",IF(N($V158)&lt;=0,0,($S158-N($U158))*(INT(MIN($AJ158,$V158)/12)*(2*($V158/12)-INT(MIN($AJ158,$V158)/12)+1)/2+MOD(MIN($AJ158,$V158),12)/12*(($V158/12)-INT(MIN($AJ158,$V158)/12)))/(($V158/12)*(($V158/12)+1)/2)),0))))),2))</f>
        <v/>
      </c>
      <c r="Y158" s="23">
        <f>IF($X158="","",$S158-$X158)</f>
        <v/>
      </c>
      <c r="AD158" s="20" t="n"/>
      <c r="AG158" s="24" t="n"/>
      <c r="AH158" s="20" t="n"/>
      <c r="AI158" s="21" t="n"/>
      <c r="AJ158" s="25">
        <f>IF($R158="","",IF($R158&gt;IF($AH158&lt;&gt;"",MIN($AH158,Settings!$B$3),Settings!$B$3),0,(YEAR(IF($AH158&lt;&gt;"",MIN($AH158,Settings!$B$3),Settings!$B$3))-YEAR($R158))*12+MONTH(IF($AH158&lt;&gt;"",MIN($AH158,Settings!$B$3),Settings!$B$3))-MONTH($R158)+1))</f>
        <v/>
      </c>
      <c r="AK158" s="25">
        <f>IF($R158="","",IF($R158&gt;MIN(Settings!$B$4-1,IF($AH158&lt;&gt;"",MIN($AH158,Settings!$B$3),Settings!$B$3)),0,(YEAR(MIN(Settings!$B$4-1,IF($AH158&lt;&gt;"",MIN($AH158,Settings!$B$3),Settings!$B$3)))-YEAR($R158))*12+MONTH(MIN(Settings!$B$4-1,IF($AH158&lt;&gt;"",MIN($AH158,Settings!$B$3),Settings!$B$3)))-MONTH($R158)+1))</f>
        <v/>
      </c>
      <c r="AL158" s="23">
        <f>IF(OR($S158="",$R158=""),"",ROUND(MAX(0,IF($W158="Straight-line",IF(N($V158)&lt;=0,0,($S158-N($U158))*MIN($AK158,$V158)/$V158),IF($W158="Reducing balance",MIN(($S158-N($U158)),$S158-$S158*(1-N($AG158))^INT($AK158/12)*(1-N($AG158)*MOD($AK158,12)/12)),IF($W158="DDB",IF(N($V158)&lt;=0,0,MIN(($S158-N($U158)),$S158-$S158*(1-MIN(1,24/$V158))^INT($AK158/12)*(1-MIN(1,24/$V158)*MOD($AK158,12)/12))),IF($W158="SYD",IF(N($V158)&lt;=0,0,($S158-N($U158))*(INT(MIN($AK158,$V158)/12)*(2*($V158/12)-INT(MIN($AK158,$V158)/12)+1)/2+MOD(MIN($AK158,$V158),12)/12*(($V158/12)-INT(MIN($AK158,$V158)/12)))/(($V158/12)*(($V158/12)+1)/2)),0))))),2))</f>
        <v/>
      </c>
      <c r="AM158" s="23">
        <f>IF($X158="","",$X158-$AL158)</f>
        <v/>
      </c>
      <c r="AN158" s="23">
        <f>IF(OR($AH158="",$Y158=""),"",N($AI158)-$Y158)</f>
        <v/>
      </c>
    </row>
    <row r="159">
      <c r="Q159" s="20" t="n"/>
      <c r="R159" s="20" t="n"/>
      <c r="S159" s="21" t="n"/>
      <c r="U159" s="21" t="n"/>
      <c r="V159" s="22" t="n"/>
      <c r="X159" s="23">
        <f>IF(OR($S159="",$R159=""),"",ROUND(MAX(0,IF($W159="Straight-line",IF(N($V159)&lt;=0,0,($S159-N($U159))*MIN($AJ159,$V159)/$V159),IF($W159="Reducing balance",MIN(($S159-N($U159)),$S159-$S159*(1-N($AG159))^INT($AJ159/12)*(1-N($AG159)*MOD($AJ159,12)/12)),IF($W159="DDB",IF(N($V159)&lt;=0,0,MIN(($S159-N($U159)),$S159-$S159*(1-MIN(1,24/$V159))^INT($AJ159/12)*(1-MIN(1,24/$V159)*MOD($AJ159,12)/12))),IF($W159="SYD",IF(N($V159)&lt;=0,0,($S159-N($U159))*(INT(MIN($AJ159,$V159)/12)*(2*($V159/12)-INT(MIN($AJ159,$V159)/12)+1)/2+MOD(MIN($AJ159,$V159),12)/12*(($V159/12)-INT(MIN($AJ159,$V159)/12)))/(($V159/12)*(($V159/12)+1)/2)),0))))),2))</f>
        <v/>
      </c>
      <c r="Y159" s="23">
        <f>IF($X159="","",$S159-$X159)</f>
        <v/>
      </c>
      <c r="AD159" s="20" t="n"/>
      <c r="AG159" s="24" t="n"/>
      <c r="AH159" s="20" t="n"/>
      <c r="AI159" s="21" t="n"/>
      <c r="AJ159" s="25">
        <f>IF($R159="","",IF($R159&gt;IF($AH159&lt;&gt;"",MIN($AH159,Settings!$B$3),Settings!$B$3),0,(YEAR(IF($AH159&lt;&gt;"",MIN($AH159,Settings!$B$3),Settings!$B$3))-YEAR($R159))*12+MONTH(IF($AH159&lt;&gt;"",MIN($AH159,Settings!$B$3),Settings!$B$3))-MONTH($R159)+1))</f>
        <v/>
      </c>
      <c r="AK159" s="25">
        <f>IF($R159="","",IF($R159&gt;MIN(Settings!$B$4-1,IF($AH159&lt;&gt;"",MIN($AH159,Settings!$B$3),Settings!$B$3)),0,(YEAR(MIN(Settings!$B$4-1,IF($AH159&lt;&gt;"",MIN($AH159,Settings!$B$3),Settings!$B$3)))-YEAR($R159))*12+MONTH(MIN(Settings!$B$4-1,IF($AH159&lt;&gt;"",MIN($AH159,Settings!$B$3),Settings!$B$3)))-MONTH($R159)+1))</f>
        <v/>
      </c>
      <c r="AL159" s="23">
        <f>IF(OR($S159="",$R159=""),"",ROUND(MAX(0,IF($W159="Straight-line",IF(N($V159)&lt;=0,0,($S159-N($U159))*MIN($AK159,$V159)/$V159),IF($W159="Reducing balance",MIN(($S159-N($U159)),$S159-$S159*(1-N($AG159))^INT($AK159/12)*(1-N($AG159)*MOD($AK159,12)/12)),IF($W159="DDB",IF(N($V159)&lt;=0,0,MIN(($S159-N($U159)),$S159-$S159*(1-MIN(1,24/$V159))^INT($AK159/12)*(1-MIN(1,24/$V159)*MOD($AK159,12)/12))),IF($W159="SYD",IF(N($V159)&lt;=0,0,($S159-N($U159))*(INT(MIN($AK159,$V159)/12)*(2*($V159/12)-INT(MIN($AK159,$V159)/12)+1)/2+MOD(MIN($AK159,$V159),12)/12*(($V159/12)-INT(MIN($AK159,$V159)/12)))/(($V159/12)*(($V159/12)+1)/2)),0))))),2))</f>
        <v/>
      </c>
      <c r="AM159" s="23">
        <f>IF($X159="","",$X159-$AL159)</f>
        <v/>
      </c>
      <c r="AN159" s="23">
        <f>IF(OR($AH159="",$Y159=""),"",N($AI159)-$Y159)</f>
        <v/>
      </c>
    </row>
    <row r="160">
      <c r="Q160" s="20" t="n"/>
      <c r="R160" s="20" t="n"/>
      <c r="S160" s="21" t="n"/>
      <c r="U160" s="21" t="n"/>
      <c r="V160" s="22" t="n"/>
      <c r="X160" s="23">
        <f>IF(OR($S160="",$R160=""),"",ROUND(MAX(0,IF($W160="Straight-line",IF(N($V160)&lt;=0,0,($S160-N($U160))*MIN($AJ160,$V160)/$V160),IF($W160="Reducing balance",MIN(($S160-N($U160)),$S160-$S160*(1-N($AG160))^INT($AJ160/12)*(1-N($AG160)*MOD($AJ160,12)/12)),IF($W160="DDB",IF(N($V160)&lt;=0,0,MIN(($S160-N($U160)),$S160-$S160*(1-MIN(1,24/$V160))^INT($AJ160/12)*(1-MIN(1,24/$V160)*MOD($AJ160,12)/12))),IF($W160="SYD",IF(N($V160)&lt;=0,0,($S160-N($U160))*(INT(MIN($AJ160,$V160)/12)*(2*($V160/12)-INT(MIN($AJ160,$V160)/12)+1)/2+MOD(MIN($AJ160,$V160),12)/12*(($V160/12)-INT(MIN($AJ160,$V160)/12)))/(($V160/12)*(($V160/12)+1)/2)),0))))),2))</f>
        <v/>
      </c>
      <c r="Y160" s="23">
        <f>IF($X160="","",$S160-$X160)</f>
        <v/>
      </c>
      <c r="AD160" s="20" t="n"/>
      <c r="AG160" s="24" t="n"/>
      <c r="AH160" s="20" t="n"/>
      <c r="AI160" s="21" t="n"/>
      <c r="AJ160" s="25">
        <f>IF($R160="","",IF($R160&gt;IF($AH160&lt;&gt;"",MIN($AH160,Settings!$B$3),Settings!$B$3),0,(YEAR(IF($AH160&lt;&gt;"",MIN($AH160,Settings!$B$3),Settings!$B$3))-YEAR($R160))*12+MONTH(IF($AH160&lt;&gt;"",MIN($AH160,Settings!$B$3),Settings!$B$3))-MONTH($R160)+1))</f>
        <v/>
      </c>
      <c r="AK160" s="25">
        <f>IF($R160="","",IF($R160&gt;MIN(Settings!$B$4-1,IF($AH160&lt;&gt;"",MIN($AH160,Settings!$B$3),Settings!$B$3)),0,(YEAR(MIN(Settings!$B$4-1,IF($AH160&lt;&gt;"",MIN($AH160,Settings!$B$3),Settings!$B$3)))-YEAR($R160))*12+MONTH(MIN(Settings!$B$4-1,IF($AH160&lt;&gt;"",MIN($AH160,Settings!$B$3),Settings!$B$3)))-MONTH($R160)+1))</f>
        <v/>
      </c>
      <c r="AL160" s="23">
        <f>IF(OR($S160="",$R160=""),"",ROUND(MAX(0,IF($W160="Straight-line",IF(N($V160)&lt;=0,0,($S160-N($U160))*MIN($AK160,$V160)/$V160),IF($W160="Reducing balance",MIN(($S160-N($U160)),$S160-$S160*(1-N($AG160))^INT($AK160/12)*(1-N($AG160)*MOD($AK160,12)/12)),IF($W160="DDB",IF(N($V160)&lt;=0,0,MIN(($S160-N($U160)),$S160-$S160*(1-MIN(1,24/$V160))^INT($AK160/12)*(1-MIN(1,24/$V160)*MOD($AK160,12)/12))),IF($W160="SYD",IF(N($V160)&lt;=0,0,($S160-N($U160))*(INT(MIN($AK160,$V160)/12)*(2*($V160/12)-INT(MIN($AK160,$V160)/12)+1)/2+MOD(MIN($AK160,$V160),12)/12*(($V160/12)-INT(MIN($AK160,$V160)/12)))/(($V160/12)*(($V160/12)+1)/2)),0))))),2))</f>
        <v/>
      </c>
      <c r="AM160" s="23">
        <f>IF($X160="","",$X160-$AL160)</f>
        <v/>
      </c>
      <c r="AN160" s="23">
        <f>IF(OR($AH160="",$Y160=""),"",N($AI160)-$Y160)</f>
        <v/>
      </c>
    </row>
    <row r="161">
      <c r="Q161" s="20" t="n"/>
      <c r="R161" s="20" t="n"/>
      <c r="S161" s="21" t="n"/>
      <c r="U161" s="21" t="n"/>
      <c r="V161" s="22" t="n"/>
      <c r="X161" s="23">
        <f>IF(OR($S161="",$R161=""),"",ROUND(MAX(0,IF($W161="Straight-line",IF(N($V161)&lt;=0,0,($S161-N($U161))*MIN($AJ161,$V161)/$V161),IF($W161="Reducing balance",MIN(($S161-N($U161)),$S161-$S161*(1-N($AG161))^INT($AJ161/12)*(1-N($AG161)*MOD($AJ161,12)/12)),IF($W161="DDB",IF(N($V161)&lt;=0,0,MIN(($S161-N($U161)),$S161-$S161*(1-MIN(1,24/$V161))^INT($AJ161/12)*(1-MIN(1,24/$V161)*MOD($AJ161,12)/12))),IF($W161="SYD",IF(N($V161)&lt;=0,0,($S161-N($U161))*(INT(MIN($AJ161,$V161)/12)*(2*($V161/12)-INT(MIN($AJ161,$V161)/12)+1)/2+MOD(MIN($AJ161,$V161),12)/12*(($V161/12)-INT(MIN($AJ161,$V161)/12)))/(($V161/12)*(($V161/12)+1)/2)),0))))),2))</f>
        <v/>
      </c>
      <c r="Y161" s="23">
        <f>IF($X161="","",$S161-$X161)</f>
        <v/>
      </c>
      <c r="AD161" s="20" t="n"/>
      <c r="AG161" s="24" t="n"/>
      <c r="AH161" s="20" t="n"/>
      <c r="AI161" s="21" t="n"/>
      <c r="AJ161" s="25">
        <f>IF($R161="","",IF($R161&gt;IF($AH161&lt;&gt;"",MIN($AH161,Settings!$B$3),Settings!$B$3),0,(YEAR(IF($AH161&lt;&gt;"",MIN($AH161,Settings!$B$3),Settings!$B$3))-YEAR($R161))*12+MONTH(IF($AH161&lt;&gt;"",MIN($AH161,Settings!$B$3),Settings!$B$3))-MONTH($R161)+1))</f>
        <v/>
      </c>
      <c r="AK161" s="25">
        <f>IF($R161="","",IF($R161&gt;MIN(Settings!$B$4-1,IF($AH161&lt;&gt;"",MIN($AH161,Settings!$B$3),Settings!$B$3)),0,(YEAR(MIN(Settings!$B$4-1,IF($AH161&lt;&gt;"",MIN($AH161,Settings!$B$3),Settings!$B$3)))-YEAR($R161))*12+MONTH(MIN(Settings!$B$4-1,IF($AH161&lt;&gt;"",MIN($AH161,Settings!$B$3),Settings!$B$3)))-MONTH($R161)+1))</f>
        <v/>
      </c>
      <c r="AL161" s="23">
        <f>IF(OR($S161="",$R161=""),"",ROUND(MAX(0,IF($W161="Straight-line",IF(N($V161)&lt;=0,0,($S161-N($U161))*MIN($AK161,$V161)/$V161),IF($W161="Reducing balance",MIN(($S161-N($U161)),$S161-$S161*(1-N($AG161))^INT($AK161/12)*(1-N($AG161)*MOD($AK161,12)/12)),IF($W161="DDB",IF(N($V161)&lt;=0,0,MIN(($S161-N($U161)),$S161-$S161*(1-MIN(1,24/$V161))^INT($AK161/12)*(1-MIN(1,24/$V161)*MOD($AK161,12)/12))),IF($W161="SYD",IF(N($V161)&lt;=0,0,($S161-N($U161))*(INT(MIN($AK161,$V161)/12)*(2*($V161/12)-INT(MIN($AK161,$V161)/12)+1)/2+MOD(MIN($AK161,$V161),12)/12*(($V161/12)-INT(MIN($AK161,$V161)/12)))/(($V161/12)*(($V161/12)+1)/2)),0))))),2))</f>
        <v/>
      </c>
      <c r="AM161" s="23">
        <f>IF($X161="","",$X161-$AL161)</f>
        <v/>
      </c>
      <c r="AN161" s="23">
        <f>IF(OR($AH161="",$Y161=""),"",N($AI161)-$Y161)</f>
        <v/>
      </c>
    </row>
    <row r="162">
      <c r="Q162" s="20" t="n"/>
      <c r="R162" s="20" t="n"/>
      <c r="S162" s="21" t="n"/>
      <c r="U162" s="21" t="n"/>
      <c r="V162" s="22" t="n"/>
      <c r="X162" s="23">
        <f>IF(OR($S162="",$R162=""),"",ROUND(MAX(0,IF($W162="Straight-line",IF(N($V162)&lt;=0,0,($S162-N($U162))*MIN($AJ162,$V162)/$V162),IF($W162="Reducing balance",MIN(($S162-N($U162)),$S162-$S162*(1-N($AG162))^INT($AJ162/12)*(1-N($AG162)*MOD($AJ162,12)/12)),IF($W162="DDB",IF(N($V162)&lt;=0,0,MIN(($S162-N($U162)),$S162-$S162*(1-MIN(1,24/$V162))^INT($AJ162/12)*(1-MIN(1,24/$V162)*MOD($AJ162,12)/12))),IF($W162="SYD",IF(N($V162)&lt;=0,0,($S162-N($U162))*(INT(MIN($AJ162,$V162)/12)*(2*($V162/12)-INT(MIN($AJ162,$V162)/12)+1)/2+MOD(MIN($AJ162,$V162),12)/12*(($V162/12)-INT(MIN($AJ162,$V162)/12)))/(($V162/12)*(($V162/12)+1)/2)),0))))),2))</f>
        <v/>
      </c>
      <c r="Y162" s="23">
        <f>IF($X162="","",$S162-$X162)</f>
        <v/>
      </c>
      <c r="AD162" s="20" t="n"/>
      <c r="AG162" s="24" t="n"/>
      <c r="AH162" s="20" t="n"/>
      <c r="AI162" s="21" t="n"/>
      <c r="AJ162" s="25">
        <f>IF($R162="","",IF($R162&gt;IF($AH162&lt;&gt;"",MIN($AH162,Settings!$B$3),Settings!$B$3),0,(YEAR(IF($AH162&lt;&gt;"",MIN($AH162,Settings!$B$3),Settings!$B$3))-YEAR($R162))*12+MONTH(IF($AH162&lt;&gt;"",MIN($AH162,Settings!$B$3),Settings!$B$3))-MONTH($R162)+1))</f>
        <v/>
      </c>
      <c r="AK162" s="25">
        <f>IF($R162="","",IF($R162&gt;MIN(Settings!$B$4-1,IF($AH162&lt;&gt;"",MIN($AH162,Settings!$B$3),Settings!$B$3)),0,(YEAR(MIN(Settings!$B$4-1,IF($AH162&lt;&gt;"",MIN($AH162,Settings!$B$3),Settings!$B$3)))-YEAR($R162))*12+MONTH(MIN(Settings!$B$4-1,IF($AH162&lt;&gt;"",MIN($AH162,Settings!$B$3),Settings!$B$3)))-MONTH($R162)+1))</f>
        <v/>
      </c>
      <c r="AL162" s="23">
        <f>IF(OR($S162="",$R162=""),"",ROUND(MAX(0,IF($W162="Straight-line",IF(N($V162)&lt;=0,0,($S162-N($U162))*MIN($AK162,$V162)/$V162),IF($W162="Reducing balance",MIN(($S162-N($U162)),$S162-$S162*(1-N($AG162))^INT($AK162/12)*(1-N($AG162)*MOD($AK162,12)/12)),IF($W162="DDB",IF(N($V162)&lt;=0,0,MIN(($S162-N($U162)),$S162-$S162*(1-MIN(1,24/$V162))^INT($AK162/12)*(1-MIN(1,24/$V162)*MOD($AK162,12)/12))),IF($W162="SYD",IF(N($V162)&lt;=0,0,($S162-N($U162))*(INT(MIN($AK162,$V162)/12)*(2*($V162/12)-INT(MIN($AK162,$V162)/12)+1)/2+MOD(MIN($AK162,$V162),12)/12*(($V162/12)-INT(MIN($AK162,$V162)/12)))/(($V162/12)*(($V162/12)+1)/2)),0))))),2))</f>
        <v/>
      </c>
      <c r="AM162" s="23">
        <f>IF($X162="","",$X162-$AL162)</f>
        <v/>
      </c>
      <c r="AN162" s="23">
        <f>IF(OR($AH162="",$Y162=""),"",N($AI162)-$Y162)</f>
        <v/>
      </c>
    </row>
    <row r="163">
      <c r="Q163" s="20" t="n"/>
      <c r="R163" s="20" t="n"/>
      <c r="S163" s="21" t="n"/>
      <c r="U163" s="21" t="n"/>
      <c r="V163" s="22" t="n"/>
      <c r="X163" s="23">
        <f>IF(OR($S163="",$R163=""),"",ROUND(MAX(0,IF($W163="Straight-line",IF(N($V163)&lt;=0,0,($S163-N($U163))*MIN($AJ163,$V163)/$V163),IF($W163="Reducing balance",MIN(($S163-N($U163)),$S163-$S163*(1-N($AG163))^INT($AJ163/12)*(1-N($AG163)*MOD($AJ163,12)/12)),IF($W163="DDB",IF(N($V163)&lt;=0,0,MIN(($S163-N($U163)),$S163-$S163*(1-MIN(1,24/$V163))^INT($AJ163/12)*(1-MIN(1,24/$V163)*MOD($AJ163,12)/12))),IF($W163="SYD",IF(N($V163)&lt;=0,0,($S163-N($U163))*(INT(MIN($AJ163,$V163)/12)*(2*($V163/12)-INT(MIN($AJ163,$V163)/12)+1)/2+MOD(MIN($AJ163,$V163),12)/12*(($V163/12)-INT(MIN($AJ163,$V163)/12)))/(($V163/12)*(($V163/12)+1)/2)),0))))),2))</f>
        <v/>
      </c>
      <c r="Y163" s="23">
        <f>IF($X163="","",$S163-$X163)</f>
        <v/>
      </c>
      <c r="AD163" s="20" t="n"/>
      <c r="AG163" s="24" t="n"/>
      <c r="AH163" s="20" t="n"/>
      <c r="AI163" s="21" t="n"/>
      <c r="AJ163" s="25">
        <f>IF($R163="","",IF($R163&gt;IF($AH163&lt;&gt;"",MIN($AH163,Settings!$B$3),Settings!$B$3),0,(YEAR(IF($AH163&lt;&gt;"",MIN($AH163,Settings!$B$3),Settings!$B$3))-YEAR($R163))*12+MONTH(IF($AH163&lt;&gt;"",MIN($AH163,Settings!$B$3),Settings!$B$3))-MONTH($R163)+1))</f>
        <v/>
      </c>
      <c r="AK163" s="25">
        <f>IF($R163="","",IF($R163&gt;MIN(Settings!$B$4-1,IF($AH163&lt;&gt;"",MIN($AH163,Settings!$B$3),Settings!$B$3)),0,(YEAR(MIN(Settings!$B$4-1,IF($AH163&lt;&gt;"",MIN($AH163,Settings!$B$3),Settings!$B$3)))-YEAR($R163))*12+MONTH(MIN(Settings!$B$4-1,IF($AH163&lt;&gt;"",MIN($AH163,Settings!$B$3),Settings!$B$3)))-MONTH($R163)+1))</f>
        <v/>
      </c>
      <c r="AL163" s="23">
        <f>IF(OR($S163="",$R163=""),"",ROUND(MAX(0,IF($W163="Straight-line",IF(N($V163)&lt;=0,0,($S163-N($U163))*MIN($AK163,$V163)/$V163),IF($W163="Reducing balance",MIN(($S163-N($U163)),$S163-$S163*(1-N($AG163))^INT($AK163/12)*(1-N($AG163)*MOD($AK163,12)/12)),IF($W163="DDB",IF(N($V163)&lt;=0,0,MIN(($S163-N($U163)),$S163-$S163*(1-MIN(1,24/$V163))^INT($AK163/12)*(1-MIN(1,24/$V163)*MOD($AK163,12)/12))),IF($W163="SYD",IF(N($V163)&lt;=0,0,($S163-N($U163))*(INT(MIN($AK163,$V163)/12)*(2*($V163/12)-INT(MIN($AK163,$V163)/12)+1)/2+MOD(MIN($AK163,$V163),12)/12*(($V163/12)-INT(MIN($AK163,$V163)/12)))/(($V163/12)*(($V163/12)+1)/2)),0))))),2))</f>
        <v/>
      </c>
      <c r="AM163" s="23">
        <f>IF($X163="","",$X163-$AL163)</f>
        <v/>
      </c>
      <c r="AN163" s="23">
        <f>IF(OR($AH163="",$Y163=""),"",N($AI163)-$Y163)</f>
        <v/>
      </c>
    </row>
    <row r="164">
      <c r="Q164" s="20" t="n"/>
      <c r="R164" s="20" t="n"/>
      <c r="S164" s="21" t="n"/>
      <c r="U164" s="21" t="n"/>
      <c r="V164" s="22" t="n"/>
      <c r="X164" s="23">
        <f>IF(OR($S164="",$R164=""),"",ROUND(MAX(0,IF($W164="Straight-line",IF(N($V164)&lt;=0,0,($S164-N($U164))*MIN($AJ164,$V164)/$V164),IF($W164="Reducing balance",MIN(($S164-N($U164)),$S164-$S164*(1-N($AG164))^INT($AJ164/12)*(1-N($AG164)*MOD($AJ164,12)/12)),IF($W164="DDB",IF(N($V164)&lt;=0,0,MIN(($S164-N($U164)),$S164-$S164*(1-MIN(1,24/$V164))^INT($AJ164/12)*(1-MIN(1,24/$V164)*MOD($AJ164,12)/12))),IF($W164="SYD",IF(N($V164)&lt;=0,0,($S164-N($U164))*(INT(MIN($AJ164,$V164)/12)*(2*($V164/12)-INT(MIN($AJ164,$V164)/12)+1)/2+MOD(MIN($AJ164,$V164),12)/12*(($V164/12)-INT(MIN($AJ164,$V164)/12)))/(($V164/12)*(($V164/12)+1)/2)),0))))),2))</f>
        <v/>
      </c>
      <c r="Y164" s="23">
        <f>IF($X164="","",$S164-$X164)</f>
        <v/>
      </c>
      <c r="AD164" s="20" t="n"/>
      <c r="AG164" s="24" t="n"/>
      <c r="AH164" s="20" t="n"/>
      <c r="AI164" s="21" t="n"/>
      <c r="AJ164" s="25">
        <f>IF($R164="","",IF($R164&gt;IF($AH164&lt;&gt;"",MIN($AH164,Settings!$B$3),Settings!$B$3),0,(YEAR(IF($AH164&lt;&gt;"",MIN($AH164,Settings!$B$3),Settings!$B$3))-YEAR($R164))*12+MONTH(IF($AH164&lt;&gt;"",MIN($AH164,Settings!$B$3),Settings!$B$3))-MONTH($R164)+1))</f>
        <v/>
      </c>
      <c r="AK164" s="25">
        <f>IF($R164="","",IF($R164&gt;MIN(Settings!$B$4-1,IF($AH164&lt;&gt;"",MIN($AH164,Settings!$B$3),Settings!$B$3)),0,(YEAR(MIN(Settings!$B$4-1,IF($AH164&lt;&gt;"",MIN($AH164,Settings!$B$3),Settings!$B$3)))-YEAR($R164))*12+MONTH(MIN(Settings!$B$4-1,IF($AH164&lt;&gt;"",MIN($AH164,Settings!$B$3),Settings!$B$3)))-MONTH($R164)+1))</f>
        <v/>
      </c>
      <c r="AL164" s="23">
        <f>IF(OR($S164="",$R164=""),"",ROUND(MAX(0,IF($W164="Straight-line",IF(N($V164)&lt;=0,0,($S164-N($U164))*MIN($AK164,$V164)/$V164),IF($W164="Reducing balance",MIN(($S164-N($U164)),$S164-$S164*(1-N($AG164))^INT($AK164/12)*(1-N($AG164)*MOD($AK164,12)/12)),IF($W164="DDB",IF(N($V164)&lt;=0,0,MIN(($S164-N($U164)),$S164-$S164*(1-MIN(1,24/$V164))^INT($AK164/12)*(1-MIN(1,24/$V164)*MOD($AK164,12)/12))),IF($W164="SYD",IF(N($V164)&lt;=0,0,($S164-N($U164))*(INT(MIN($AK164,$V164)/12)*(2*($V164/12)-INT(MIN($AK164,$V164)/12)+1)/2+MOD(MIN($AK164,$V164),12)/12*(($V164/12)-INT(MIN($AK164,$V164)/12)))/(($V164/12)*(($V164/12)+1)/2)),0))))),2))</f>
        <v/>
      </c>
      <c r="AM164" s="23">
        <f>IF($X164="","",$X164-$AL164)</f>
        <v/>
      </c>
      <c r="AN164" s="23">
        <f>IF(OR($AH164="",$Y164=""),"",N($AI164)-$Y164)</f>
        <v/>
      </c>
    </row>
    <row r="165">
      <c r="Q165" s="20" t="n"/>
      <c r="R165" s="20" t="n"/>
      <c r="S165" s="21" t="n"/>
      <c r="U165" s="21" t="n"/>
      <c r="V165" s="22" t="n"/>
      <c r="X165" s="23">
        <f>IF(OR($S165="",$R165=""),"",ROUND(MAX(0,IF($W165="Straight-line",IF(N($V165)&lt;=0,0,($S165-N($U165))*MIN($AJ165,$V165)/$V165),IF($W165="Reducing balance",MIN(($S165-N($U165)),$S165-$S165*(1-N($AG165))^INT($AJ165/12)*(1-N($AG165)*MOD($AJ165,12)/12)),IF($W165="DDB",IF(N($V165)&lt;=0,0,MIN(($S165-N($U165)),$S165-$S165*(1-MIN(1,24/$V165))^INT($AJ165/12)*(1-MIN(1,24/$V165)*MOD($AJ165,12)/12))),IF($W165="SYD",IF(N($V165)&lt;=0,0,($S165-N($U165))*(INT(MIN($AJ165,$V165)/12)*(2*($V165/12)-INT(MIN($AJ165,$V165)/12)+1)/2+MOD(MIN($AJ165,$V165),12)/12*(($V165/12)-INT(MIN($AJ165,$V165)/12)))/(($V165/12)*(($V165/12)+1)/2)),0))))),2))</f>
        <v/>
      </c>
      <c r="Y165" s="23">
        <f>IF($X165="","",$S165-$X165)</f>
        <v/>
      </c>
      <c r="AD165" s="20" t="n"/>
      <c r="AG165" s="24" t="n"/>
      <c r="AH165" s="20" t="n"/>
      <c r="AI165" s="21" t="n"/>
      <c r="AJ165" s="25">
        <f>IF($R165="","",IF($R165&gt;IF($AH165&lt;&gt;"",MIN($AH165,Settings!$B$3),Settings!$B$3),0,(YEAR(IF($AH165&lt;&gt;"",MIN($AH165,Settings!$B$3),Settings!$B$3))-YEAR($R165))*12+MONTH(IF($AH165&lt;&gt;"",MIN($AH165,Settings!$B$3),Settings!$B$3))-MONTH($R165)+1))</f>
        <v/>
      </c>
      <c r="AK165" s="25">
        <f>IF($R165="","",IF($R165&gt;MIN(Settings!$B$4-1,IF($AH165&lt;&gt;"",MIN($AH165,Settings!$B$3),Settings!$B$3)),0,(YEAR(MIN(Settings!$B$4-1,IF($AH165&lt;&gt;"",MIN($AH165,Settings!$B$3),Settings!$B$3)))-YEAR($R165))*12+MONTH(MIN(Settings!$B$4-1,IF($AH165&lt;&gt;"",MIN($AH165,Settings!$B$3),Settings!$B$3)))-MONTH($R165)+1))</f>
        <v/>
      </c>
      <c r="AL165" s="23">
        <f>IF(OR($S165="",$R165=""),"",ROUND(MAX(0,IF($W165="Straight-line",IF(N($V165)&lt;=0,0,($S165-N($U165))*MIN($AK165,$V165)/$V165),IF($W165="Reducing balance",MIN(($S165-N($U165)),$S165-$S165*(1-N($AG165))^INT($AK165/12)*(1-N($AG165)*MOD($AK165,12)/12)),IF($W165="DDB",IF(N($V165)&lt;=0,0,MIN(($S165-N($U165)),$S165-$S165*(1-MIN(1,24/$V165))^INT($AK165/12)*(1-MIN(1,24/$V165)*MOD($AK165,12)/12))),IF($W165="SYD",IF(N($V165)&lt;=0,0,($S165-N($U165))*(INT(MIN($AK165,$V165)/12)*(2*($V165/12)-INT(MIN($AK165,$V165)/12)+1)/2+MOD(MIN($AK165,$V165),12)/12*(($V165/12)-INT(MIN($AK165,$V165)/12)))/(($V165/12)*(($V165/12)+1)/2)),0))))),2))</f>
        <v/>
      </c>
      <c r="AM165" s="23">
        <f>IF($X165="","",$X165-$AL165)</f>
        <v/>
      </c>
      <c r="AN165" s="23">
        <f>IF(OR($AH165="",$Y165=""),"",N($AI165)-$Y165)</f>
        <v/>
      </c>
    </row>
    <row r="166">
      <c r="Q166" s="20" t="n"/>
      <c r="R166" s="20" t="n"/>
      <c r="S166" s="21" t="n"/>
      <c r="U166" s="21" t="n"/>
      <c r="V166" s="22" t="n"/>
      <c r="X166" s="23">
        <f>IF(OR($S166="",$R166=""),"",ROUND(MAX(0,IF($W166="Straight-line",IF(N($V166)&lt;=0,0,($S166-N($U166))*MIN($AJ166,$V166)/$V166),IF($W166="Reducing balance",MIN(($S166-N($U166)),$S166-$S166*(1-N($AG166))^INT($AJ166/12)*(1-N($AG166)*MOD($AJ166,12)/12)),IF($W166="DDB",IF(N($V166)&lt;=0,0,MIN(($S166-N($U166)),$S166-$S166*(1-MIN(1,24/$V166))^INT($AJ166/12)*(1-MIN(1,24/$V166)*MOD($AJ166,12)/12))),IF($W166="SYD",IF(N($V166)&lt;=0,0,($S166-N($U166))*(INT(MIN($AJ166,$V166)/12)*(2*($V166/12)-INT(MIN($AJ166,$V166)/12)+1)/2+MOD(MIN($AJ166,$V166),12)/12*(($V166/12)-INT(MIN($AJ166,$V166)/12)))/(($V166/12)*(($V166/12)+1)/2)),0))))),2))</f>
        <v/>
      </c>
      <c r="Y166" s="23">
        <f>IF($X166="","",$S166-$X166)</f>
        <v/>
      </c>
      <c r="AD166" s="20" t="n"/>
      <c r="AG166" s="24" t="n"/>
      <c r="AH166" s="20" t="n"/>
      <c r="AI166" s="21" t="n"/>
      <c r="AJ166" s="25">
        <f>IF($R166="","",IF($R166&gt;IF($AH166&lt;&gt;"",MIN($AH166,Settings!$B$3),Settings!$B$3),0,(YEAR(IF($AH166&lt;&gt;"",MIN($AH166,Settings!$B$3),Settings!$B$3))-YEAR($R166))*12+MONTH(IF($AH166&lt;&gt;"",MIN($AH166,Settings!$B$3),Settings!$B$3))-MONTH($R166)+1))</f>
        <v/>
      </c>
      <c r="AK166" s="25">
        <f>IF($R166="","",IF($R166&gt;MIN(Settings!$B$4-1,IF($AH166&lt;&gt;"",MIN($AH166,Settings!$B$3),Settings!$B$3)),0,(YEAR(MIN(Settings!$B$4-1,IF($AH166&lt;&gt;"",MIN($AH166,Settings!$B$3),Settings!$B$3)))-YEAR($R166))*12+MONTH(MIN(Settings!$B$4-1,IF($AH166&lt;&gt;"",MIN($AH166,Settings!$B$3),Settings!$B$3)))-MONTH($R166)+1))</f>
        <v/>
      </c>
      <c r="AL166" s="23">
        <f>IF(OR($S166="",$R166=""),"",ROUND(MAX(0,IF($W166="Straight-line",IF(N($V166)&lt;=0,0,($S166-N($U166))*MIN($AK166,$V166)/$V166),IF($W166="Reducing balance",MIN(($S166-N($U166)),$S166-$S166*(1-N($AG166))^INT($AK166/12)*(1-N($AG166)*MOD($AK166,12)/12)),IF($W166="DDB",IF(N($V166)&lt;=0,0,MIN(($S166-N($U166)),$S166-$S166*(1-MIN(1,24/$V166))^INT($AK166/12)*(1-MIN(1,24/$V166)*MOD($AK166,12)/12))),IF($W166="SYD",IF(N($V166)&lt;=0,0,($S166-N($U166))*(INT(MIN($AK166,$V166)/12)*(2*($V166/12)-INT(MIN($AK166,$V166)/12)+1)/2+MOD(MIN($AK166,$V166),12)/12*(($V166/12)-INT(MIN($AK166,$V166)/12)))/(($V166/12)*(($V166/12)+1)/2)),0))))),2))</f>
        <v/>
      </c>
      <c r="AM166" s="23">
        <f>IF($X166="","",$X166-$AL166)</f>
        <v/>
      </c>
      <c r="AN166" s="23">
        <f>IF(OR($AH166="",$Y166=""),"",N($AI166)-$Y166)</f>
        <v/>
      </c>
    </row>
    <row r="167">
      <c r="Q167" s="20" t="n"/>
      <c r="R167" s="20" t="n"/>
      <c r="S167" s="21" t="n"/>
      <c r="U167" s="21" t="n"/>
      <c r="V167" s="22" t="n"/>
      <c r="X167" s="23">
        <f>IF(OR($S167="",$R167=""),"",ROUND(MAX(0,IF($W167="Straight-line",IF(N($V167)&lt;=0,0,($S167-N($U167))*MIN($AJ167,$V167)/$V167),IF($W167="Reducing balance",MIN(($S167-N($U167)),$S167-$S167*(1-N($AG167))^INT($AJ167/12)*(1-N($AG167)*MOD($AJ167,12)/12)),IF($W167="DDB",IF(N($V167)&lt;=0,0,MIN(($S167-N($U167)),$S167-$S167*(1-MIN(1,24/$V167))^INT($AJ167/12)*(1-MIN(1,24/$V167)*MOD($AJ167,12)/12))),IF($W167="SYD",IF(N($V167)&lt;=0,0,($S167-N($U167))*(INT(MIN($AJ167,$V167)/12)*(2*($V167/12)-INT(MIN($AJ167,$V167)/12)+1)/2+MOD(MIN($AJ167,$V167),12)/12*(($V167/12)-INT(MIN($AJ167,$V167)/12)))/(($V167/12)*(($V167/12)+1)/2)),0))))),2))</f>
        <v/>
      </c>
      <c r="Y167" s="23">
        <f>IF($X167="","",$S167-$X167)</f>
        <v/>
      </c>
      <c r="AD167" s="20" t="n"/>
      <c r="AG167" s="24" t="n"/>
      <c r="AH167" s="20" t="n"/>
      <c r="AI167" s="21" t="n"/>
      <c r="AJ167" s="25">
        <f>IF($R167="","",IF($R167&gt;IF($AH167&lt;&gt;"",MIN($AH167,Settings!$B$3),Settings!$B$3),0,(YEAR(IF($AH167&lt;&gt;"",MIN($AH167,Settings!$B$3),Settings!$B$3))-YEAR($R167))*12+MONTH(IF($AH167&lt;&gt;"",MIN($AH167,Settings!$B$3),Settings!$B$3))-MONTH($R167)+1))</f>
        <v/>
      </c>
      <c r="AK167" s="25">
        <f>IF($R167="","",IF($R167&gt;MIN(Settings!$B$4-1,IF($AH167&lt;&gt;"",MIN($AH167,Settings!$B$3),Settings!$B$3)),0,(YEAR(MIN(Settings!$B$4-1,IF($AH167&lt;&gt;"",MIN($AH167,Settings!$B$3),Settings!$B$3)))-YEAR($R167))*12+MONTH(MIN(Settings!$B$4-1,IF($AH167&lt;&gt;"",MIN($AH167,Settings!$B$3),Settings!$B$3)))-MONTH($R167)+1))</f>
        <v/>
      </c>
      <c r="AL167" s="23">
        <f>IF(OR($S167="",$R167=""),"",ROUND(MAX(0,IF($W167="Straight-line",IF(N($V167)&lt;=0,0,($S167-N($U167))*MIN($AK167,$V167)/$V167),IF($W167="Reducing balance",MIN(($S167-N($U167)),$S167-$S167*(1-N($AG167))^INT($AK167/12)*(1-N($AG167)*MOD($AK167,12)/12)),IF($W167="DDB",IF(N($V167)&lt;=0,0,MIN(($S167-N($U167)),$S167-$S167*(1-MIN(1,24/$V167))^INT($AK167/12)*(1-MIN(1,24/$V167)*MOD($AK167,12)/12))),IF($W167="SYD",IF(N($V167)&lt;=0,0,($S167-N($U167))*(INT(MIN($AK167,$V167)/12)*(2*($V167/12)-INT(MIN($AK167,$V167)/12)+1)/2+MOD(MIN($AK167,$V167),12)/12*(($V167/12)-INT(MIN($AK167,$V167)/12)))/(($V167/12)*(($V167/12)+1)/2)),0))))),2))</f>
        <v/>
      </c>
      <c r="AM167" s="23">
        <f>IF($X167="","",$X167-$AL167)</f>
        <v/>
      </c>
      <c r="AN167" s="23">
        <f>IF(OR($AH167="",$Y167=""),"",N($AI167)-$Y167)</f>
        <v/>
      </c>
    </row>
    <row r="168">
      <c r="Q168" s="20" t="n"/>
      <c r="R168" s="20" t="n"/>
      <c r="S168" s="21" t="n"/>
      <c r="U168" s="21" t="n"/>
      <c r="V168" s="22" t="n"/>
      <c r="X168" s="23">
        <f>IF(OR($S168="",$R168=""),"",ROUND(MAX(0,IF($W168="Straight-line",IF(N($V168)&lt;=0,0,($S168-N($U168))*MIN($AJ168,$V168)/$V168),IF($W168="Reducing balance",MIN(($S168-N($U168)),$S168-$S168*(1-N($AG168))^INT($AJ168/12)*(1-N($AG168)*MOD($AJ168,12)/12)),IF($W168="DDB",IF(N($V168)&lt;=0,0,MIN(($S168-N($U168)),$S168-$S168*(1-MIN(1,24/$V168))^INT($AJ168/12)*(1-MIN(1,24/$V168)*MOD($AJ168,12)/12))),IF($W168="SYD",IF(N($V168)&lt;=0,0,($S168-N($U168))*(INT(MIN($AJ168,$V168)/12)*(2*($V168/12)-INT(MIN($AJ168,$V168)/12)+1)/2+MOD(MIN($AJ168,$V168),12)/12*(($V168/12)-INT(MIN($AJ168,$V168)/12)))/(($V168/12)*(($V168/12)+1)/2)),0))))),2))</f>
        <v/>
      </c>
      <c r="Y168" s="23">
        <f>IF($X168="","",$S168-$X168)</f>
        <v/>
      </c>
      <c r="AD168" s="20" t="n"/>
      <c r="AG168" s="24" t="n"/>
      <c r="AH168" s="20" t="n"/>
      <c r="AI168" s="21" t="n"/>
      <c r="AJ168" s="25">
        <f>IF($R168="","",IF($R168&gt;IF($AH168&lt;&gt;"",MIN($AH168,Settings!$B$3),Settings!$B$3),0,(YEAR(IF($AH168&lt;&gt;"",MIN($AH168,Settings!$B$3),Settings!$B$3))-YEAR($R168))*12+MONTH(IF($AH168&lt;&gt;"",MIN($AH168,Settings!$B$3),Settings!$B$3))-MONTH($R168)+1))</f>
        <v/>
      </c>
      <c r="AK168" s="25">
        <f>IF($R168="","",IF($R168&gt;MIN(Settings!$B$4-1,IF($AH168&lt;&gt;"",MIN($AH168,Settings!$B$3),Settings!$B$3)),0,(YEAR(MIN(Settings!$B$4-1,IF($AH168&lt;&gt;"",MIN($AH168,Settings!$B$3),Settings!$B$3)))-YEAR($R168))*12+MONTH(MIN(Settings!$B$4-1,IF($AH168&lt;&gt;"",MIN($AH168,Settings!$B$3),Settings!$B$3)))-MONTH($R168)+1))</f>
        <v/>
      </c>
      <c r="AL168" s="23">
        <f>IF(OR($S168="",$R168=""),"",ROUND(MAX(0,IF($W168="Straight-line",IF(N($V168)&lt;=0,0,($S168-N($U168))*MIN($AK168,$V168)/$V168),IF($W168="Reducing balance",MIN(($S168-N($U168)),$S168-$S168*(1-N($AG168))^INT($AK168/12)*(1-N($AG168)*MOD($AK168,12)/12)),IF($W168="DDB",IF(N($V168)&lt;=0,0,MIN(($S168-N($U168)),$S168-$S168*(1-MIN(1,24/$V168))^INT($AK168/12)*(1-MIN(1,24/$V168)*MOD($AK168,12)/12))),IF($W168="SYD",IF(N($V168)&lt;=0,0,($S168-N($U168))*(INT(MIN($AK168,$V168)/12)*(2*($V168/12)-INT(MIN($AK168,$V168)/12)+1)/2+MOD(MIN($AK168,$V168),12)/12*(($V168/12)-INT(MIN($AK168,$V168)/12)))/(($V168/12)*(($V168/12)+1)/2)),0))))),2))</f>
        <v/>
      </c>
      <c r="AM168" s="23">
        <f>IF($X168="","",$X168-$AL168)</f>
        <v/>
      </c>
      <c r="AN168" s="23">
        <f>IF(OR($AH168="",$Y168=""),"",N($AI168)-$Y168)</f>
        <v/>
      </c>
    </row>
    <row r="169">
      <c r="Q169" s="20" t="n"/>
      <c r="R169" s="20" t="n"/>
      <c r="S169" s="21" t="n"/>
      <c r="U169" s="21" t="n"/>
      <c r="V169" s="22" t="n"/>
      <c r="X169" s="23">
        <f>IF(OR($S169="",$R169=""),"",ROUND(MAX(0,IF($W169="Straight-line",IF(N($V169)&lt;=0,0,($S169-N($U169))*MIN($AJ169,$V169)/$V169),IF($W169="Reducing balance",MIN(($S169-N($U169)),$S169-$S169*(1-N($AG169))^INT($AJ169/12)*(1-N($AG169)*MOD($AJ169,12)/12)),IF($W169="DDB",IF(N($V169)&lt;=0,0,MIN(($S169-N($U169)),$S169-$S169*(1-MIN(1,24/$V169))^INT($AJ169/12)*(1-MIN(1,24/$V169)*MOD($AJ169,12)/12))),IF($W169="SYD",IF(N($V169)&lt;=0,0,($S169-N($U169))*(INT(MIN($AJ169,$V169)/12)*(2*($V169/12)-INT(MIN($AJ169,$V169)/12)+1)/2+MOD(MIN($AJ169,$V169),12)/12*(($V169/12)-INT(MIN($AJ169,$V169)/12)))/(($V169/12)*(($V169/12)+1)/2)),0))))),2))</f>
        <v/>
      </c>
      <c r="Y169" s="23">
        <f>IF($X169="","",$S169-$X169)</f>
        <v/>
      </c>
      <c r="AD169" s="20" t="n"/>
      <c r="AG169" s="24" t="n"/>
      <c r="AH169" s="20" t="n"/>
      <c r="AI169" s="21" t="n"/>
      <c r="AJ169" s="25">
        <f>IF($R169="","",IF($R169&gt;IF($AH169&lt;&gt;"",MIN($AH169,Settings!$B$3),Settings!$B$3),0,(YEAR(IF($AH169&lt;&gt;"",MIN($AH169,Settings!$B$3),Settings!$B$3))-YEAR($R169))*12+MONTH(IF($AH169&lt;&gt;"",MIN($AH169,Settings!$B$3),Settings!$B$3))-MONTH($R169)+1))</f>
        <v/>
      </c>
      <c r="AK169" s="25">
        <f>IF($R169="","",IF($R169&gt;MIN(Settings!$B$4-1,IF($AH169&lt;&gt;"",MIN($AH169,Settings!$B$3),Settings!$B$3)),0,(YEAR(MIN(Settings!$B$4-1,IF($AH169&lt;&gt;"",MIN($AH169,Settings!$B$3),Settings!$B$3)))-YEAR($R169))*12+MONTH(MIN(Settings!$B$4-1,IF($AH169&lt;&gt;"",MIN($AH169,Settings!$B$3),Settings!$B$3)))-MONTH($R169)+1))</f>
        <v/>
      </c>
      <c r="AL169" s="23">
        <f>IF(OR($S169="",$R169=""),"",ROUND(MAX(0,IF($W169="Straight-line",IF(N($V169)&lt;=0,0,($S169-N($U169))*MIN($AK169,$V169)/$V169),IF($W169="Reducing balance",MIN(($S169-N($U169)),$S169-$S169*(1-N($AG169))^INT($AK169/12)*(1-N($AG169)*MOD($AK169,12)/12)),IF($W169="DDB",IF(N($V169)&lt;=0,0,MIN(($S169-N($U169)),$S169-$S169*(1-MIN(1,24/$V169))^INT($AK169/12)*(1-MIN(1,24/$V169)*MOD($AK169,12)/12))),IF($W169="SYD",IF(N($V169)&lt;=0,0,($S169-N($U169))*(INT(MIN($AK169,$V169)/12)*(2*($V169/12)-INT(MIN($AK169,$V169)/12)+1)/2+MOD(MIN($AK169,$V169),12)/12*(($V169/12)-INT(MIN($AK169,$V169)/12)))/(($V169/12)*(($V169/12)+1)/2)),0))))),2))</f>
        <v/>
      </c>
      <c r="AM169" s="23">
        <f>IF($X169="","",$X169-$AL169)</f>
        <v/>
      </c>
      <c r="AN169" s="23">
        <f>IF(OR($AH169="",$Y169=""),"",N($AI169)-$Y169)</f>
        <v/>
      </c>
    </row>
    <row r="170">
      <c r="Q170" s="20" t="n"/>
      <c r="R170" s="20" t="n"/>
      <c r="S170" s="21" t="n"/>
      <c r="U170" s="21" t="n"/>
      <c r="V170" s="22" t="n"/>
      <c r="X170" s="23">
        <f>IF(OR($S170="",$R170=""),"",ROUND(MAX(0,IF($W170="Straight-line",IF(N($V170)&lt;=0,0,($S170-N($U170))*MIN($AJ170,$V170)/$V170),IF($W170="Reducing balance",MIN(($S170-N($U170)),$S170-$S170*(1-N($AG170))^INT($AJ170/12)*(1-N($AG170)*MOD($AJ170,12)/12)),IF($W170="DDB",IF(N($V170)&lt;=0,0,MIN(($S170-N($U170)),$S170-$S170*(1-MIN(1,24/$V170))^INT($AJ170/12)*(1-MIN(1,24/$V170)*MOD($AJ170,12)/12))),IF($W170="SYD",IF(N($V170)&lt;=0,0,($S170-N($U170))*(INT(MIN($AJ170,$V170)/12)*(2*($V170/12)-INT(MIN($AJ170,$V170)/12)+1)/2+MOD(MIN($AJ170,$V170),12)/12*(($V170/12)-INT(MIN($AJ170,$V170)/12)))/(($V170/12)*(($V170/12)+1)/2)),0))))),2))</f>
        <v/>
      </c>
      <c r="Y170" s="23">
        <f>IF($X170="","",$S170-$X170)</f>
        <v/>
      </c>
      <c r="AD170" s="20" t="n"/>
      <c r="AG170" s="24" t="n"/>
      <c r="AH170" s="20" t="n"/>
      <c r="AI170" s="21" t="n"/>
      <c r="AJ170" s="25">
        <f>IF($R170="","",IF($R170&gt;IF($AH170&lt;&gt;"",MIN($AH170,Settings!$B$3),Settings!$B$3),0,(YEAR(IF($AH170&lt;&gt;"",MIN($AH170,Settings!$B$3),Settings!$B$3))-YEAR($R170))*12+MONTH(IF($AH170&lt;&gt;"",MIN($AH170,Settings!$B$3),Settings!$B$3))-MONTH($R170)+1))</f>
        <v/>
      </c>
      <c r="AK170" s="25">
        <f>IF($R170="","",IF($R170&gt;MIN(Settings!$B$4-1,IF($AH170&lt;&gt;"",MIN($AH170,Settings!$B$3),Settings!$B$3)),0,(YEAR(MIN(Settings!$B$4-1,IF($AH170&lt;&gt;"",MIN($AH170,Settings!$B$3),Settings!$B$3)))-YEAR($R170))*12+MONTH(MIN(Settings!$B$4-1,IF($AH170&lt;&gt;"",MIN($AH170,Settings!$B$3),Settings!$B$3)))-MONTH($R170)+1))</f>
        <v/>
      </c>
      <c r="AL170" s="23">
        <f>IF(OR($S170="",$R170=""),"",ROUND(MAX(0,IF($W170="Straight-line",IF(N($V170)&lt;=0,0,($S170-N($U170))*MIN($AK170,$V170)/$V170),IF($W170="Reducing balance",MIN(($S170-N($U170)),$S170-$S170*(1-N($AG170))^INT($AK170/12)*(1-N($AG170)*MOD($AK170,12)/12)),IF($W170="DDB",IF(N($V170)&lt;=0,0,MIN(($S170-N($U170)),$S170-$S170*(1-MIN(1,24/$V170))^INT($AK170/12)*(1-MIN(1,24/$V170)*MOD($AK170,12)/12))),IF($W170="SYD",IF(N($V170)&lt;=0,0,($S170-N($U170))*(INT(MIN($AK170,$V170)/12)*(2*($V170/12)-INT(MIN($AK170,$V170)/12)+1)/2+MOD(MIN($AK170,$V170),12)/12*(($V170/12)-INT(MIN($AK170,$V170)/12)))/(($V170/12)*(($V170/12)+1)/2)),0))))),2))</f>
        <v/>
      </c>
      <c r="AM170" s="23">
        <f>IF($X170="","",$X170-$AL170)</f>
        <v/>
      </c>
      <c r="AN170" s="23">
        <f>IF(OR($AH170="",$Y170=""),"",N($AI170)-$Y170)</f>
        <v/>
      </c>
    </row>
    <row r="171">
      <c r="Q171" s="20" t="n"/>
      <c r="R171" s="20" t="n"/>
      <c r="S171" s="21" t="n"/>
      <c r="U171" s="21" t="n"/>
      <c r="V171" s="22" t="n"/>
      <c r="X171" s="23">
        <f>IF(OR($S171="",$R171=""),"",ROUND(MAX(0,IF($W171="Straight-line",IF(N($V171)&lt;=0,0,($S171-N($U171))*MIN($AJ171,$V171)/$V171),IF($W171="Reducing balance",MIN(($S171-N($U171)),$S171-$S171*(1-N($AG171))^INT($AJ171/12)*(1-N($AG171)*MOD($AJ171,12)/12)),IF($W171="DDB",IF(N($V171)&lt;=0,0,MIN(($S171-N($U171)),$S171-$S171*(1-MIN(1,24/$V171))^INT($AJ171/12)*(1-MIN(1,24/$V171)*MOD($AJ171,12)/12))),IF($W171="SYD",IF(N($V171)&lt;=0,0,($S171-N($U171))*(INT(MIN($AJ171,$V171)/12)*(2*($V171/12)-INT(MIN($AJ171,$V171)/12)+1)/2+MOD(MIN($AJ171,$V171),12)/12*(($V171/12)-INT(MIN($AJ171,$V171)/12)))/(($V171/12)*(($V171/12)+1)/2)),0))))),2))</f>
        <v/>
      </c>
      <c r="Y171" s="23">
        <f>IF($X171="","",$S171-$X171)</f>
        <v/>
      </c>
      <c r="AD171" s="20" t="n"/>
      <c r="AG171" s="24" t="n"/>
      <c r="AH171" s="20" t="n"/>
      <c r="AI171" s="21" t="n"/>
      <c r="AJ171" s="25">
        <f>IF($R171="","",IF($R171&gt;IF($AH171&lt;&gt;"",MIN($AH171,Settings!$B$3),Settings!$B$3),0,(YEAR(IF($AH171&lt;&gt;"",MIN($AH171,Settings!$B$3),Settings!$B$3))-YEAR($R171))*12+MONTH(IF($AH171&lt;&gt;"",MIN($AH171,Settings!$B$3),Settings!$B$3))-MONTH($R171)+1))</f>
        <v/>
      </c>
      <c r="AK171" s="25">
        <f>IF($R171="","",IF($R171&gt;MIN(Settings!$B$4-1,IF($AH171&lt;&gt;"",MIN($AH171,Settings!$B$3),Settings!$B$3)),0,(YEAR(MIN(Settings!$B$4-1,IF($AH171&lt;&gt;"",MIN($AH171,Settings!$B$3),Settings!$B$3)))-YEAR($R171))*12+MONTH(MIN(Settings!$B$4-1,IF($AH171&lt;&gt;"",MIN($AH171,Settings!$B$3),Settings!$B$3)))-MONTH($R171)+1))</f>
        <v/>
      </c>
      <c r="AL171" s="23">
        <f>IF(OR($S171="",$R171=""),"",ROUND(MAX(0,IF($W171="Straight-line",IF(N($V171)&lt;=0,0,($S171-N($U171))*MIN($AK171,$V171)/$V171),IF($W171="Reducing balance",MIN(($S171-N($U171)),$S171-$S171*(1-N($AG171))^INT($AK171/12)*(1-N($AG171)*MOD($AK171,12)/12)),IF($W171="DDB",IF(N($V171)&lt;=0,0,MIN(($S171-N($U171)),$S171-$S171*(1-MIN(1,24/$V171))^INT($AK171/12)*(1-MIN(1,24/$V171)*MOD($AK171,12)/12))),IF($W171="SYD",IF(N($V171)&lt;=0,0,($S171-N($U171))*(INT(MIN($AK171,$V171)/12)*(2*($V171/12)-INT(MIN($AK171,$V171)/12)+1)/2+MOD(MIN($AK171,$V171),12)/12*(($V171/12)-INT(MIN($AK171,$V171)/12)))/(($V171/12)*(($V171/12)+1)/2)),0))))),2))</f>
        <v/>
      </c>
      <c r="AM171" s="23">
        <f>IF($X171="","",$X171-$AL171)</f>
        <v/>
      </c>
      <c r="AN171" s="23">
        <f>IF(OR($AH171="",$Y171=""),"",N($AI171)-$Y171)</f>
        <v/>
      </c>
    </row>
    <row r="172">
      <c r="Q172" s="20" t="n"/>
      <c r="R172" s="20" t="n"/>
      <c r="S172" s="21" t="n"/>
      <c r="U172" s="21" t="n"/>
      <c r="V172" s="22" t="n"/>
      <c r="X172" s="23">
        <f>IF(OR($S172="",$R172=""),"",ROUND(MAX(0,IF($W172="Straight-line",IF(N($V172)&lt;=0,0,($S172-N($U172))*MIN($AJ172,$V172)/$V172),IF($W172="Reducing balance",MIN(($S172-N($U172)),$S172-$S172*(1-N($AG172))^INT($AJ172/12)*(1-N($AG172)*MOD($AJ172,12)/12)),IF($W172="DDB",IF(N($V172)&lt;=0,0,MIN(($S172-N($U172)),$S172-$S172*(1-MIN(1,24/$V172))^INT($AJ172/12)*(1-MIN(1,24/$V172)*MOD($AJ172,12)/12))),IF($W172="SYD",IF(N($V172)&lt;=0,0,($S172-N($U172))*(INT(MIN($AJ172,$V172)/12)*(2*($V172/12)-INT(MIN($AJ172,$V172)/12)+1)/2+MOD(MIN($AJ172,$V172),12)/12*(($V172/12)-INT(MIN($AJ172,$V172)/12)))/(($V172/12)*(($V172/12)+1)/2)),0))))),2))</f>
        <v/>
      </c>
      <c r="Y172" s="23">
        <f>IF($X172="","",$S172-$X172)</f>
        <v/>
      </c>
      <c r="AD172" s="20" t="n"/>
      <c r="AG172" s="24" t="n"/>
      <c r="AH172" s="20" t="n"/>
      <c r="AI172" s="21" t="n"/>
      <c r="AJ172" s="25">
        <f>IF($R172="","",IF($R172&gt;IF($AH172&lt;&gt;"",MIN($AH172,Settings!$B$3),Settings!$B$3),0,(YEAR(IF($AH172&lt;&gt;"",MIN($AH172,Settings!$B$3),Settings!$B$3))-YEAR($R172))*12+MONTH(IF($AH172&lt;&gt;"",MIN($AH172,Settings!$B$3),Settings!$B$3))-MONTH($R172)+1))</f>
        <v/>
      </c>
      <c r="AK172" s="25">
        <f>IF($R172="","",IF($R172&gt;MIN(Settings!$B$4-1,IF($AH172&lt;&gt;"",MIN($AH172,Settings!$B$3),Settings!$B$3)),0,(YEAR(MIN(Settings!$B$4-1,IF($AH172&lt;&gt;"",MIN($AH172,Settings!$B$3),Settings!$B$3)))-YEAR($R172))*12+MONTH(MIN(Settings!$B$4-1,IF($AH172&lt;&gt;"",MIN($AH172,Settings!$B$3),Settings!$B$3)))-MONTH($R172)+1))</f>
        <v/>
      </c>
      <c r="AL172" s="23">
        <f>IF(OR($S172="",$R172=""),"",ROUND(MAX(0,IF($W172="Straight-line",IF(N($V172)&lt;=0,0,($S172-N($U172))*MIN($AK172,$V172)/$V172),IF($W172="Reducing balance",MIN(($S172-N($U172)),$S172-$S172*(1-N($AG172))^INT($AK172/12)*(1-N($AG172)*MOD($AK172,12)/12)),IF($W172="DDB",IF(N($V172)&lt;=0,0,MIN(($S172-N($U172)),$S172-$S172*(1-MIN(1,24/$V172))^INT($AK172/12)*(1-MIN(1,24/$V172)*MOD($AK172,12)/12))),IF($W172="SYD",IF(N($V172)&lt;=0,0,($S172-N($U172))*(INT(MIN($AK172,$V172)/12)*(2*($V172/12)-INT(MIN($AK172,$V172)/12)+1)/2+MOD(MIN($AK172,$V172),12)/12*(($V172/12)-INT(MIN($AK172,$V172)/12)))/(($V172/12)*(($V172/12)+1)/2)),0))))),2))</f>
        <v/>
      </c>
      <c r="AM172" s="23">
        <f>IF($X172="","",$X172-$AL172)</f>
        <v/>
      </c>
      <c r="AN172" s="23">
        <f>IF(OR($AH172="",$Y172=""),"",N($AI172)-$Y172)</f>
        <v/>
      </c>
    </row>
    <row r="173">
      <c r="Q173" s="20" t="n"/>
      <c r="R173" s="20" t="n"/>
      <c r="S173" s="21" t="n"/>
      <c r="U173" s="21" t="n"/>
      <c r="V173" s="22" t="n"/>
      <c r="X173" s="23">
        <f>IF(OR($S173="",$R173=""),"",ROUND(MAX(0,IF($W173="Straight-line",IF(N($V173)&lt;=0,0,($S173-N($U173))*MIN($AJ173,$V173)/$V173),IF($W173="Reducing balance",MIN(($S173-N($U173)),$S173-$S173*(1-N($AG173))^INT($AJ173/12)*(1-N($AG173)*MOD($AJ173,12)/12)),IF($W173="DDB",IF(N($V173)&lt;=0,0,MIN(($S173-N($U173)),$S173-$S173*(1-MIN(1,24/$V173))^INT($AJ173/12)*(1-MIN(1,24/$V173)*MOD($AJ173,12)/12))),IF($W173="SYD",IF(N($V173)&lt;=0,0,($S173-N($U173))*(INT(MIN($AJ173,$V173)/12)*(2*($V173/12)-INT(MIN($AJ173,$V173)/12)+1)/2+MOD(MIN($AJ173,$V173),12)/12*(($V173/12)-INT(MIN($AJ173,$V173)/12)))/(($V173/12)*(($V173/12)+1)/2)),0))))),2))</f>
        <v/>
      </c>
      <c r="Y173" s="23">
        <f>IF($X173="","",$S173-$X173)</f>
        <v/>
      </c>
      <c r="AD173" s="20" t="n"/>
      <c r="AG173" s="24" t="n"/>
      <c r="AH173" s="20" t="n"/>
      <c r="AI173" s="21" t="n"/>
      <c r="AJ173" s="25">
        <f>IF($R173="","",IF($R173&gt;IF($AH173&lt;&gt;"",MIN($AH173,Settings!$B$3),Settings!$B$3),0,(YEAR(IF($AH173&lt;&gt;"",MIN($AH173,Settings!$B$3),Settings!$B$3))-YEAR($R173))*12+MONTH(IF($AH173&lt;&gt;"",MIN($AH173,Settings!$B$3),Settings!$B$3))-MONTH($R173)+1))</f>
        <v/>
      </c>
      <c r="AK173" s="25">
        <f>IF($R173="","",IF($R173&gt;MIN(Settings!$B$4-1,IF($AH173&lt;&gt;"",MIN($AH173,Settings!$B$3),Settings!$B$3)),0,(YEAR(MIN(Settings!$B$4-1,IF($AH173&lt;&gt;"",MIN($AH173,Settings!$B$3),Settings!$B$3)))-YEAR($R173))*12+MONTH(MIN(Settings!$B$4-1,IF($AH173&lt;&gt;"",MIN($AH173,Settings!$B$3),Settings!$B$3)))-MONTH($R173)+1))</f>
        <v/>
      </c>
      <c r="AL173" s="23">
        <f>IF(OR($S173="",$R173=""),"",ROUND(MAX(0,IF($W173="Straight-line",IF(N($V173)&lt;=0,0,($S173-N($U173))*MIN($AK173,$V173)/$V173),IF($W173="Reducing balance",MIN(($S173-N($U173)),$S173-$S173*(1-N($AG173))^INT($AK173/12)*(1-N($AG173)*MOD($AK173,12)/12)),IF($W173="DDB",IF(N($V173)&lt;=0,0,MIN(($S173-N($U173)),$S173-$S173*(1-MIN(1,24/$V173))^INT($AK173/12)*(1-MIN(1,24/$V173)*MOD($AK173,12)/12))),IF($W173="SYD",IF(N($V173)&lt;=0,0,($S173-N($U173))*(INT(MIN($AK173,$V173)/12)*(2*($V173/12)-INT(MIN($AK173,$V173)/12)+1)/2+MOD(MIN($AK173,$V173),12)/12*(($V173/12)-INT(MIN($AK173,$V173)/12)))/(($V173/12)*(($V173/12)+1)/2)),0))))),2))</f>
        <v/>
      </c>
      <c r="AM173" s="23">
        <f>IF($X173="","",$X173-$AL173)</f>
        <v/>
      </c>
      <c r="AN173" s="23">
        <f>IF(OR($AH173="",$Y173=""),"",N($AI173)-$Y173)</f>
        <v/>
      </c>
    </row>
    <row r="174">
      <c r="Q174" s="20" t="n"/>
      <c r="R174" s="20" t="n"/>
      <c r="S174" s="21" t="n"/>
      <c r="U174" s="21" t="n"/>
      <c r="V174" s="22" t="n"/>
      <c r="X174" s="23">
        <f>IF(OR($S174="",$R174=""),"",ROUND(MAX(0,IF($W174="Straight-line",IF(N($V174)&lt;=0,0,($S174-N($U174))*MIN($AJ174,$V174)/$V174),IF($W174="Reducing balance",MIN(($S174-N($U174)),$S174-$S174*(1-N($AG174))^INT($AJ174/12)*(1-N($AG174)*MOD($AJ174,12)/12)),IF($W174="DDB",IF(N($V174)&lt;=0,0,MIN(($S174-N($U174)),$S174-$S174*(1-MIN(1,24/$V174))^INT($AJ174/12)*(1-MIN(1,24/$V174)*MOD($AJ174,12)/12))),IF($W174="SYD",IF(N($V174)&lt;=0,0,($S174-N($U174))*(INT(MIN($AJ174,$V174)/12)*(2*($V174/12)-INT(MIN($AJ174,$V174)/12)+1)/2+MOD(MIN($AJ174,$V174),12)/12*(($V174/12)-INT(MIN($AJ174,$V174)/12)))/(($V174/12)*(($V174/12)+1)/2)),0))))),2))</f>
        <v/>
      </c>
      <c r="Y174" s="23">
        <f>IF($X174="","",$S174-$X174)</f>
        <v/>
      </c>
      <c r="AD174" s="20" t="n"/>
      <c r="AG174" s="24" t="n"/>
      <c r="AH174" s="20" t="n"/>
      <c r="AI174" s="21" t="n"/>
      <c r="AJ174" s="25">
        <f>IF($R174="","",IF($R174&gt;IF($AH174&lt;&gt;"",MIN($AH174,Settings!$B$3),Settings!$B$3),0,(YEAR(IF($AH174&lt;&gt;"",MIN($AH174,Settings!$B$3),Settings!$B$3))-YEAR($R174))*12+MONTH(IF($AH174&lt;&gt;"",MIN($AH174,Settings!$B$3),Settings!$B$3))-MONTH($R174)+1))</f>
        <v/>
      </c>
      <c r="AK174" s="25">
        <f>IF($R174="","",IF($R174&gt;MIN(Settings!$B$4-1,IF($AH174&lt;&gt;"",MIN($AH174,Settings!$B$3),Settings!$B$3)),0,(YEAR(MIN(Settings!$B$4-1,IF($AH174&lt;&gt;"",MIN($AH174,Settings!$B$3),Settings!$B$3)))-YEAR($R174))*12+MONTH(MIN(Settings!$B$4-1,IF($AH174&lt;&gt;"",MIN($AH174,Settings!$B$3),Settings!$B$3)))-MONTH($R174)+1))</f>
        <v/>
      </c>
      <c r="AL174" s="23">
        <f>IF(OR($S174="",$R174=""),"",ROUND(MAX(0,IF($W174="Straight-line",IF(N($V174)&lt;=0,0,($S174-N($U174))*MIN($AK174,$V174)/$V174),IF($W174="Reducing balance",MIN(($S174-N($U174)),$S174-$S174*(1-N($AG174))^INT($AK174/12)*(1-N($AG174)*MOD($AK174,12)/12)),IF($W174="DDB",IF(N($V174)&lt;=0,0,MIN(($S174-N($U174)),$S174-$S174*(1-MIN(1,24/$V174))^INT($AK174/12)*(1-MIN(1,24/$V174)*MOD($AK174,12)/12))),IF($W174="SYD",IF(N($V174)&lt;=0,0,($S174-N($U174))*(INT(MIN($AK174,$V174)/12)*(2*($V174/12)-INT(MIN($AK174,$V174)/12)+1)/2+MOD(MIN($AK174,$V174),12)/12*(($V174/12)-INT(MIN($AK174,$V174)/12)))/(($V174/12)*(($V174/12)+1)/2)),0))))),2))</f>
        <v/>
      </c>
      <c r="AM174" s="23">
        <f>IF($X174="","",$X174-$AL174)</f>
        <v/>
      </c>
      <c r="AN174" s="23">
        <f>IF(OR($AH174="",$Y174=""),"",N($AI174)-$Y174)</f>
        <v/>
      </c>
    </row>
    <row r="175">
      <c r="Q175" s="20" t="n"/>
      <c r="R175" s="20" t="n"/>
      <c r="S175" s="21" t="n"/>
      <c r="U175" s="21" t="n"/>
      <c r="V175" s="22" t="n"/>
      <c r="X175" s="23">
        <f>IF(OR($S175="",$R175=""),"",ROUND(MAX(0,IF($W175="Straight-line",IF(N($V175)&lt;=0,0,($S175-N($U175))*MIN($AJ175,$V175)/$V175),IF($W175="Reducing balance",MIN(($S175-N($U175)),$S175-$S175*(1-N($AG175))^INT($AJ175/12)*(1-N($AG175)*MOD($AJ175,12)/12)),IF($W175="DDB",IF(N($V175)&lt;=0,0,MIN(($S175-N($U175)),$S175-$S175*(1-MIN(1,24/$V175))^INT($AJ175/12)*(1-MIN(1,24/$V175)*MOD($AJ175,12)/12))),IF($W175="SYD",IF(N($V175)&lt;=0,0,($S175-N($U175))*(INT(MIN($AJ175,$V175)/12)*(2*($V175/12)-INT(MIN($AJ175,$V175)/12)+1)/2+MOD(MIN($AJ175,$V175),12)/12*(($V175/12)-INT(MIN($AJ175,$V175)/12)))/(($V175/12)*(($V175/12)+1)/2)),0))))),2))</f>
        <v/>
      </c>
      <c r="Y175" s="23">
        <f>IF($X175="","",$S175-$X175)</f>
        <v/>
      </c>
      <c r="AD175" s="20" t="n"/>
      <c r="AG175" s="24" t="n"/>
      <c r="AH175" s="20" t="n"/>
      <c r="AI175" s="21" t="n"/>
      <c r="AJ175" s="25">
        <f>IF($R175="","",IF($R175&gt;IF($AH175&lt;&gt;"",MIN($AH175,Settings!$B$3),Settings!$B$3),0,(YEAR(IF($AH175&lt;&gt;"",MIN($AH175,Settings!$B$3),Settings!$B$3))-YEAR($R175))*12+MONTH(IF($AH175&lt;&gt;"",MIN($AH175,Settings!$B$3),Settings!$B$3))-MONTH($R175)+1))</f>
        <v/>
      </c>
      <c r="AK175" s="25">
        <f>IF($R175="","",IF($R175&gt;MIN(Settings!$B$4-1,IF($AH175&lt;&gt;"",MIN($AH175,Settings!$B$3),Settings!$B$3)),0,(YEAR(MIN(Settings!$B$4-1,IF($AH175&lt;&gt;"",MIN($AH175,Settings!$B$3),Settings!$B$3)))-YEAR($R175))*12+MONTH(MIN(Settings!$B$4-1,IF($AH175&lt;&gt;"",MIN($AH175,Settings!$B$3),Settings!$B$3)))-MONTH($R175)+1))</f>
        <v/>
      </c>
      <c r="AL175" s="23">
        <f>IF(OR($S175="",$R175=""),"",ROUND(MAX(0,IF($W175="Straight-line",IF(N($V175)&lt;=0,0,($S175-N($U175))*MIN($AK175,$V175)/$V175),IF($W175="Reducing balance",MIN(($S175-N($U175)),$S175-$S175*(1-N($AG175))^INT($AK175/12)*(1-N($AG175)*MOD($AK175,12)/12)),IF($W175="DDB",IF(N($V175)&lt;=0,0,MIN(($S175-N($U175)),$S175-$S175*(1-MIN(1,24/$V175))^INT($AK175/12)*(1-MIN(1,24/$V175)*MOD($AK175,12)/12))),IF($W175="SYD",IF(N($V175)&lt;=0,0,($S175-N($U175))*(INT(MIN($AK175,$V175)/12)*(2*($V175/12)-INT(MIN($AK175,$V175)/12)+1)/2+MOD(MIN($AK175,$V175),12)/12*(($V175/12)-INT(MIN($AK175,$V175)/12)))/(($V175/12)*(($V175/12)+1)/2)),0))))),2))</f>
        <v/>
      </c>
      <c r="AM175" s="23">
        <f>IF($X175="","",$X175-$AL175)</f>
        <v/>
      </c>
      <c r="AN175" s="23">
        <f>IF(OR($AH175="",$Y175=""),"",N($AI175)-$Y175)</f>
        <v/>
      </c>
    </row>
    <row r="176">
      <c r="Q176" s="20" t="n"/>
      <c r="R176" s="20" t="n"/>
      <c r="S176" s="21" t="n"/>
      <c r="U176" s="21" t="n"/>
      <c r="V176" s="22" t="n"/>
      <c r="X176" s="23">
        <f>IF(OR($S176="",$R176=""),"",ROUND(MAX(0,IF($W176="Straight-line",IF(N($V176)&lt;=0,0,($S176-N($U176))*MIN($AJ176,$V176)/$V176),IF($W176="Reducing balance",MIN(($S176-N($U176)),$S176-$S176*(1-N($AG176))^INT($AJ176/12)*(1-N($AG176)*MOD($AJ176,12)/12)),IF($W176="DDB",IF(N($V176)&lt;=0,0,MIN(($S176-N($U176)),$S176-$S176*(1-MIN(1,24/$V176))^INT($AJ176/12)*(1-MIN(1,24/$V176)*MOD($AJ176,12)/12))),IF($W176="SYD",IF(N($V176)&lt;=0,0,($S176-N($U176))*(INT(MIN($AJ176,$V176)/12)*(2*($V176/12)-INT(MIN($AJ176,$V176)/12)+1)/2+MOD(MIN($AJ176,$V176),12)/12*(($V176/12)-INT(MIN($AJ176,$V176)/12)))/(($V176/12)*(($V176/12)+1)/2)),0))))),2))</f>
        <v/>
      </c>
      <c r="Y176" s="23">
        <f>IF($X176="","",$S176-$X176)</f>
        <v/>
      </c>
      <c r="AD176" s="20" t="n"/>
      <c r="AG176" s="24" t="n"/>
      <c r="AH176" s="20" t="n"/>
      <c r="AI176" s="21" t="n"/>
      <c r="AJ176" s="25">
        <f>IF($R176="","",IF($R176&gt;IF($AH176&lt;&gt;"",MIN($AH176,Settings!$B$3),Settings!$B$3),0,(YEAR(IF($AH176&lt;&gt;"",MIN($AH176,Settings!$B$3),Settings!$B$3))-YEAR($R176))*12+MONTH(IF($AH176&lt;&gt;"",MIN($AH176,Settings!$B$3),Settings!$B$3))-MONTH($R176)+1))</f>
        <v/>
      </c>
      <c r="AK176" s="25">
        <f>IF($R176="","",IF($R176&gt;MIN(Settings!$B$4-1,IF($AH176&lt;&gt;"",MIN($AH176,Settings!$B$3),Settings!$B$3)),0,(YEAR(MIN(Settings!$B$4-1,IF($AH176&lt;&gt;"",MIN($AH176,Settings!$B$3),Settings!$B$3)))-YEAR($R176))*12+MONTH(MIN(Settings!$B$4-1,IF($AH176&lt;&gt;"",MIN($AH176,Settings!$B$3),Settings!$B$3)))-MONTH($R176)+1))</f>
        <v/>
      </c>
      <c r="AL176" s="23">
        <f>IF(OR($S176="",$R176=""),"",ROUND(MAX(0,IF($W176="Straight-line",IF(N($V176)&lt;=0,0,($S176-N($U176))*MIN($AK176,$V176)/$V176),IF($W176="Reducing balance",MIN(($S176-N($U176)),$S176-$S176*(1-N($AG176))^INT($AK176/12)*(1-N($AG176)*MOD($AK176,12)/12)),IF($W176="DDB",IF(N($V176)&lt;=0,0,MIN(($S176-N($U176)),$S176-$S176*(1-MIN(1,24/$V176))^INT($AK176/12)*(1-MIN(1,24/$V176)*MOD($AK176,12)/12))),IF($W176="SYD",IF(N($V176)&lt;=0,0,($S176-N($U176))*(INT(MIN($AK176,$V176)/12)*(2*($V176/12)-INT(MIN($AK176,$V176)/12)+1)/2+MOD(MIN($AK176,$V176),12)/12*(($V176/12)-INT(MIN($AK176,$V176)/12)))/(($V176/12)*(($V176/12)+1)/2)),0))))),2))</f>
        <v/>
      </c>
      <c r="AM176" s="23">
        <f>IF($X176="","",$X176-$AL176)</f>
        <v/>
      </c>
      <c r="AN176" s="23">
        <f>IF(OR($AH176="",$Y176=""),"",N($AI176)-$Y176)</f>
        <v/>
      </c>
    </row>
    <row r="177">
      <c r="Q177" s="20" t="n"/>
      <c r="R177" s="20" t="n"/>
      <c r="S177" s="21" t="n"/>
      <c r="U177" s="21" t="n"/>
      <c r="V177" s="22" t="n"/>
      <c r="X177" s="23">
        <f>IF(OR($S177="",$R177=""),"",ROUND(MAX(0,IF($W177="Straight-line",IF(N($V177)&lt;=0,0,($S177-N($U177))*MIN($AJ177,$V177)/$V177),IF($W177="Reducing balance",MIN(($S177-N($U177)),$S177-$S177*(1-N($AG177))^INT($AJ177/12)*(1-N($AG177)*MOD($AJ177,12)/12)),IF($W177="DDB",IF(N($V177)&lt;=0,0,MIN(($S177-N($U177)),$S177-$S177*(1-MIN(1,24/$V177))^INT($AJ177/12)*(1-MIN(1,24/$V177)*MOD($AJ177,12)/12))),IF($W177="SYD",IF(N($V177)&lt;=0,0,($S177-N($U177))*(INT(MIN($AJ177,$V177)/12)*(2*($V177/12)-INT(MIN($AJ177,$V177)/12)+1)/2+MOD(MIN($AJ177,$V177),12)/12*(($V177/12)-INT(MIN($AJ177,$V177)/12)))/(($V177/12)*(($V177/12)+1)/2)),0))))),2))</f>
        <v/>
      </c>
      <c r="Y177" s="23">
        <f>IF($X177="","",$S177-$X177)</f>
        <v/>
      </c>
      <c r="AD177" s="20" t="n"/>
      <c r="AG177" s="24" t="n"/>
      <c r="AH177" s="20" t="n"/>
      <c r="AI177" s="21" t="n"/>
      <c r="AJ177" s="25">
        <f>IF($R177="","",IF($R177&gt;IF($AH177&lt;&gt;"",MIN($AH177,Settings!$B$3),Settings!$B$3),0,(YEAR(IF($AH177&lt;&gt;"",MIN($AH177,Settings!$B$3),Settings!$B$3))-YEAR($R177))*12+MONTH(IF($AH177&lt;&gt;"",MIN($AH177,Settings!$B$3),Settings!$B$3))-MONTH($R177)+1))</f>
        <v/>
      </c>
      <c r="AK177" s="25">
        <f>IF($R177="","",IF($R177&gt;MIN(Settings!$B$4-1,IF($AH177&lt;&gt;"",MIN($AH177,Settings!$B$3),Settings!$B$3)),0,(YEAR(MIN(Settings!$B$4-1,IF($AH177&lt;&gt;"",MIN($AH177,Settings!$B$3),Settings!$B$3)))-YEAR($R177))*12+MONTH(MIN(Settings!$B$4-1,IF($AH177&lt;&gt;"",MIN($AH177,Settings!$B$3),Settings!$B$3)))-MONTH($R177)+1))</f>
        <v/>
      </c>
      <c r="AL177" s="23">
        <f>IF(OR($S177="",$R177=""),"",ROUND(MAX(0,IF($W177="Straight-line",IF(N($V177)&lt;=0,0,($S177-N($U177))*MIN($AK177,$V177)/$V177),IF($W177="Reducing balance",MIN(($S177-N($U177)),$S177-$S177*(1-N($AG177))^INT($AK177/12)*(1-N($AG177)*MOD($AK177,12)/12)),IF($W177="DDB",IF(N($V177)&lt;=0,0,MIN(($S177-N($U177)),$S177-$S177*(1-MIN(1,24/$V177))^INT($AK177/12)*(1-MIN(1,24/$V177)*MOD($AK177,12)/12))),IF($W177="SYD",IF(N($V177)&lt;=0,0,($S177-N($U177))*(INT(MIN($AK177,$V177)/12)*(2*($V177/12)-INT(MIN($AK177,$V177)/12)+1)/2+MOD(MIN($AK177,$V177),12)/12*(($V177/12)-INT(MIN($AK177,$V177)/12)))/(($V177/12)*(($V177/12)+1)/2)),0))))),2))</f>
        <v/>
      </c>
      <c r="AM177" s="23">
        <f>IF($X177="","",$X177-$AL177)</f>
        <v/>
      </c>
      <c r="AN177" s="23">
        <f>IF(OR($AH177="",$Y177=""),"",N($AI177)-$Y177)</f>
        <v/>
      </c>
    </row>
    <row r="178">
      <c r="Q178" s="20" t="n"/>
      <c r="R178" s="20" t="n"/>
      <c r="S178" s="21" t="n"/>
      <c r="U178" s="21" t="n"/>
      <c r="V178" s="22" t="n"/>
      <c r="X178" s="23">
        <f>IF(OR($S178="",$R178=""),"",ROUND(MAX(0,IF($W178="Straight-line",IF(N($V178)&lt;=0,0,($S178-N($U178))*MIN($AJ178,$V178)/$V178),IF($W178="Reducing balance",MIN(($S178-N($U178)),$S178-$S178*(1-N($AG178))^INT($AJ178/12)*(1-N($AG178)*MOD($AJ178,12)/12)),IF($W178="DDB",IF(N($V178)&lt;=0,0,MIN(($S178-N($U178)),$S178-$S178*(1-MIN(1,24/$V178))^INT($AJ178/12)*(1-MIN(1,24/$V178)*MOD($AJ178,12)/12))),IF($W178="SYD",IF(N($V178)&lt;=0,0,($S178-N($U178))*(INT(MIN($AJ178,$V178)/12)*(2*($V178/12)-INT(MIN($AJ178,$V178)/12)+1)/2+MOD(MIN($AJ178,$V178),12)/12*(($V178/12)-INT(MIN($AJ178,$V178)/12)))/(($V178/12)*(($V178/12)+1)/2)),0))))),2))</f>
        <v/>
      </c>
      <c r="Y178" s="23">
        <f>IF($X178="","",$S178-$X178)</f>
        <v/>
      </c>
      <c r="AD178" s="20" t="n"/>
      <c r="AG178" s="24" t="n"/>
      <c r="AH178" s="20" t="n"/>
      <c r="AI178" s="21" t="n"/>
      <c r="AJ178" s="25">
        <f>IF($R178="","",IF($R178&gt;IF($AH178&lt;&gt;"",MIN($AH178,Settings!$B$3),Settings!$B$3),0,(YEAR(IF($AH178&lt;&gt;"",MIN($AH178,Settings!$B$3),Settings!$B$3))-YEAR($R178))*12+MONTH(IF($AH178&lt;&gt;"",MIN($AH178,Settings!$B$3),Settings!$B$3))-MONTH($R178)+1))</f>
        <v/>
      </c>
      <c r="AK178" s="25">
        <f>IF($R178="","",IF($R178&gt;MIN(Settings!$B$4-1,IF($AH178&lt;&gt;"",MIN($AH178,Settings!$B$3),Settings!$B$3)),0,(YEAR(MIN(Settings!$B$4-1,IF($AH178&lt;&gt;"",MIN($AH178,Settings!$B$3),Settings!$B$3)))-YEAR($R178))*12+MONTH(MIN(Settings!$B$4-1,IF($AH178&lt;&gt;"",MIN($AH178,Settings!$B$3),Settings!$B$3)))-MONTH($R178)+1))</f>
        <v/>
      </c>
      <c r="AL178" s="23">
        <f>IF(OR($S178="",$R178=""),"",ROUND(MAX(0,IF($W178="Straight-line",IF(N($V178)&lt;=0,0,($S178-N($U178))*MIN($AK178,$V178)/$V178),IF($W178="Reducing balance",MIN(($S178-N($U178)),$S178-$S178*(1-N($AG178))^INT($AK178/12)*(1-N($AG178)*MOD($AK178,12)/12)),IF($W178="DDB",IF(N($V178)&lt;=0,0,MIN(($S178-N($U178)),$S178-$S178*(1-MIN(1,24/$V178))^INT($AK178/12)*(1-MIN(1,24/$V178)*MOD($AK178,12)/12))),IF($W178="SYD",IF(N($V178)&lt;=0,0,($S178-N($U178))*(INT(MIN($AK178,$V178)/12)*(2*($V178/12)-INT(MIN($AK178,$V178)/12)+1)/2+MOD(MIN($AK178,$V178),12)/12*(($V178/12)-INT(MIN($AK178,$V178)/12)))/(($V178/12)*(($V178/12)+1)/2)),0))))),2))</f>
        <v/>
      </c>
      <c r="AM178" s="23">
        <f>IF($X178="","",$X178-$AL178)</f>
        <v/>
      </c>
      <c r="AN178" s="23">
        <f>IF(OR($AH178="",$Y178=""),"",N($AI178)-$Y178)</f>
        <v/>
      </c>
    </row>
    <row r="179">
      <c r="Q179" s="20" t="n"/>
      <c r="R179" s="20" t="n"/>
      <c r="S179" s="21" t="n"/>
      <c r="U179" s="21" t="n"/>
      <c r="V179" s="22" t="n"/>
      <c r="X179" s="23">
        <f>IF(OR($S179="",$R179=""),"",ROUND(MAX(0,IF($W179="Straight-line",IF(N($V179)&lt;=0,0,($S179-N($U179))*MIN($AJ179,$V179)/$V179),IF($W179="Reducing balance",MIN(($S179-N($U179)),$S179-$S179*(1-N($AG179))^INT($AJ179/12)*(1-N($AG179)*MOD($AJ179,12)/12)),IF($W179="DDB",IF(N($V179)&lt;=0,0,MIN(($S179-N($U179)),$S179-$S179*(1-MIN(1,24/$V179))^INT($AJ179/12)*(1-MIN(1,24/$V179)*MOD($AJ179,12)/12))),IF($W179="SYD",IF(N($V179)&lt;=0,0,($S179-N($U179))*(INT(MIN($AJ179,$V179)/12)*(2*($V179/12)-INT(MIN($AJ179,$V179)/12)+1)/2+MOD(MIN($AJ179,$V179),12)/12*(($V179/12)-INT(MIN($AJ179,$V179)/12)))/(($V179/12)*(($V179/12)+1)/2)),0))))),2))</f>
        <v/>
      </c>
      <c r="Y179" s="23">
        <f>IF($X179="","",$S179-$X179)</f>
        <v/>
      </c>
      <c r="AD179" s="20" t="n"/>
      <c r="AG179" s="24" t="n"/>
      <c r="AH179" s="20" t="n"/>
      <c r="AI179" s="21" t="n"/>
      <c r="AJ179" s="25">
        <f>IF($R179="","",IF($R179&gt;IF($AH179&lt;&gt;"",MIN($AH179,Settings!$B$3),Settings!$B$3),0,(YEAR(IF($AH179&lt;&gt;"",MIN($AH179,Settings!$B$3),Settings!$B$3))-YEAR($R179))*12+MONTH(IF($AH179&lt;&gt;"",MIN($AH179,Settings!$B$3),Settings!$B$3))-MONTH($R179)+1))</f>
        <v/>
      </c>
      <c r="AK179" s="25">
        <f>IF($R179="","",IF($R179&gt;MIN(Settings!$B$4-1,IF($AH179&lt;&gt;"",MIN($AH179,Settings!$B$3),Settings!$B$3)),0,(YEAR(MIN(Settings!$B$4-1,IF($AH179&lt;&gt;"",MIN($AH179,Settings!$B$3),Settings!$B$3)))-YEAR($R179))*12+MONTH(MIN(Settings!$B$4-1,IF($AH179&lt;&gt;"",MIN($AH179,Settings!$B$3),Settings!$B$3)))-MONTH($R179)+1))</f>
        <v/>
      </c>
      <c r="AL179" s="23">
        <f>IF(OR($S179="",$R179=""),"",ROUND(MAX(0,IF($W179="Straight-line",IF(N($V179)&lt;=0,0,($S179-N($U179))*MIN($AK179,$V179)/$V179),IF($W179="Reducing balance",MIN(($S179-N($U179)),$S179-$S179*(1-N($AG179))^INT($AK179/12)*(1-N($AG179)*MOD($AK179,12)/12)),IF($W179="DDB",IF(N($V179)&lt;=0,0,MIN(($S179-N($U179)),$S179-$S179*(1-MIN(1,24/$V179))^INT($AK179/12)*(1-MIN(1,24/$V179)*MOD($AK179,12)/12))),IF($W179="SYD",IF(N($V179)&lt;=0,0,($S179-N($U179))*(INT(MIN($AK179,$V179)/12)*(2*($V179/12)-INT(MIN($AK179,$V179)/12)+1)/2+MOD(MIN($AK179,$V179),12)/12*(($V179/12)-INT(MIN($AK179,$V179)/12)))/(($V179/12)*(($V179/12)+1)/2)),0))))),2))</f>
        <v/>
      </c>
      <c r="AM179" s="23">
        <f>IF($X179="","",$X179-$AL179)</f>
        <v/>
      </c>
      <c r="AN179" s="23">
        <f>IF(OR($AH179="",$Y179=""),"",N($AI179)-$Y179)</f>
        <v/>
      </c>
    </row>
    <row r="180">
      <c r="Q180" s="20" t="n"/>
      <c r="R180" s="20" t="n"/>
      <c r="S180" s="21" t="n"/>
      <c r="U180" s="21" t="n"/>
      <c r="V180" s="22" t="n"/>
      <c r="X180" s="23">
        <f>IF(OR($S180="",$R180=""),"",ROUND(MAX(0,IF($W180="Straight-line",IF(N($V180)&lt;=0,0,($S180-N($U180))*MIN($AJ180,$V180)/$V180),IF($W180="Reducing balance",MIN(($S180-N($U180)),$S180-$S180*(1-N($AG180))^INT($AJ180/12)*(1-N($AG180)*MOD($AJ180,12)/12)),IF($W180="DDB",IF(N($V180)&lt;=0,0,MIN(($S180-N($U180)),$S180-$S180*(1-MIN(1,24/$V180))^INT($AJ180/12)*(1-MIN(1,24/$V180)*MOD($AJ180,12)/12))),IF($W180="SYD",IF(N($V180)&lt;=0,0,($S180-N($U180))*(INT(MIN($AJ180,$V180)/12)*(2*($V180/12)-INT(MIN($AJ180,$V180)/12)+1)/2+MOD(MIN($AJ180,$V180),12)/12*(($V180/12)-INT(MIN($AJ180,$V180)/12)))/(($V180/12)*(($V180/12)+1)/2)),0))))),2))</f>
        <v/>
      </c>
      <c r="Y180" s="23">
        <f>IF($X180="","",$S180-$X180)</f>
        <v/>
      </c>
      <c r="AD180" s="20" t="n"/>
      <c r="AG180" s="24" t="n"/>
      <c r="AH180" s="20" t="n"/>
      <c r="AI180" s="21" t="n"/>
      <c r="AJ180" s="25">
        <f>IF($R180="","",IF($R180&gt;IF($AH180&lt;&gt;"",MIN($AH180,Settings!$B$3),Settings!$B$3),0,(YEAR(IF($AH180&lt;&gt;"",MIN($AH180,Settings!$B$3),Settings!$B$3))-YEAR($R180))*12+MONTH(IF($AH180&lt;&gt;"",MIN($AH180,Settings!$B$3),Settings!$B$3))-MONTH($R180)+1))</f>
        <v/>
      </c>
      <c r="AK180" s="25">
        <f>IF($R180="","",IF($R180&gt;MIN(Settings!$B$4-1,IF($AH180&lt;&gt;"",MIN($AH180,Settings!$B$3),Settings!$B$3)),0,(YEAR(MIN(Settings!$B$4-1,IF($AH180&lt;&gt;"",MIN($AH180,Settings!$B$3),Settings!$B$3)))-YEAR($R180))*12+MONTH(MIN(Settings!$B$4-1,IF($AH180&lt;&gt;"",MIN($AH180,Settings!$B$3),Settings!$B$3)))-MONTH($R180)+1))</f>
        <v/>
      </c>
      <c r="AL180" s="23">
        <f>IF(OR($S180="",$R180=""),"",ROUND(MAX(0,IF($W180="Straight-line",IF(N($V180)&lt;=0,0,($S180-N($U180))*MIN($AK180,$V180)/$V180),IF($W180="Reducing balance",MIN(($S180-N($U180)),$S180-$S180*(1-N($AG180))^INT($AK180/12)*(1-N($AG180)*MOD($AK180,12)/12)),IF($W180="DDB",IF(N($V180)&lt;=0,0,MIN(($S180-N($U180)),$S180-$S180*(1-MIN(1,24/$V180))^INT($AK180/12)*(1-MIN(1,24/$V180)*MOD($AK180,12)/12))),IF($W180="SYD",IF(N($V180)&lt;=0,0,($S180-N($U180))*(INT(MIN($AK180,$V180)/12)*(2*($V180/12)-INT(MIN($AK180,$V180)/12)+1)/2+MOD(MIN($AK180,$V180),12)/12*(($V180/12)-INT(MIN($AK180,$V180)/12)))/(($V180/12)*(($V180/12)+1)/2)),0))))),2))</f>
        <v/>
      </c>
      <c r="AM180" s="23">
        <f>IF($X180="","",$X180-$AL180)</f>
        <v/>
      </c>
      <c r="AN180" s="23">
        <f>IF(OR($AH180="",$Y180=""),"",N($AI180)-$Y180)</f>
        <v/>
      </c>
    </row>
    <row r="181">
      <c r="Q181" s="20" t="n"/>
      <c r="R181" s="20" t="n"/>
      <c r="S181" s="21" t="n"/>
      <c r="U181" s="21" t="n"/>
      <c r="V181" s="22" t="n"/>
      <c r="X181" s="23">
        <f>IF(OR($S181="",$R181=""),"",ROUND(MAX(0,IF($W181="Straight-line",IF(N($V181)&lt;=0,0,($S181-N($U181))*MIN($AJ181,$V181)/$V181),IF($W181="Reducing balance",MIN(($S181-N($U181)),$S181-$S181*(1-N($AG181))^INT($AJ181/12)*(1-N($AG181)*MOD($AJ181,12)/12)),IF($W181="DDB",IF(N($V181)&lt;=0,0,MIN(($S181-N($U181)),$S181-$S181*(1-MIN(1,24/$V181))^INT($AJ181/12)*(1-MIN(1,24/$V181)*MOD($AJ181,12)/12))),IF($W181="SYD",IF(N($V181)&lt;=0,0,($S181-N($U181))*(INT(MIN($AJ181,$V181)/12)*(2*($V181/12)-INT(MIN($AJ181,$V181)/12)+1)/2+MOD(MIN($AJ181,$V181),12)/12*(($V181/12)-INT(MIN($AJ181,$V181)/12)))/(($V181/12)*(($V181/12)+1)/2)),0))))),2))</f>
        <v/>
      </c>
      <c r="Y181" s="23">
        <f>IF($X181="","",$S181-$X181)</f>
        <v/>
      </c>
      <c r="AD181" s="20" t="n"/>
      <c r="AG181" s="24" t="n"/>
      <c r="AH181" s="20" t="n"/>
      <c r="AI181" s="21" t="n"/>
      <c r="AJ181" s="25">
        <f>IF($R181="","",IF($R181&gt;IF($AH181&lt;&gt;"",MIN($AH181,Settings!$B$3),Settings!$B$3),0,(YEAR(IF($AH181&lt;&gt;"",MIN($AH181,Settings!$B$3),Settings!$B$3))-YEAR($R181))*12+MONTH(IF($AH181&lt;&gt;"",MIN($AH181,Settings!$B$3),Settings!$B$3))-MONTH($R181)+1))</f>
        <v/>
      </c>
      <c r="AK181" s="25">
        <f>IF($R181="","",IF($R181&gt;MIN(Settings!$B$4-1,IF($AH181&lt;&gt;"",MIN($AH181,Settings!$B$3),Settings!$B$3)),0,(YEAR(MIN(Settings!$B$4-1,IF($AH181&lt;&gt;"",MIN($AH181,Settings!$B$3),Settings!$B$3)))-YEAR($R181))*12+MONTH(MIN(Settings!$B$4-1,IF($AH181&lt;&gt;"",MIN($AH181,Settings!$B$3),Settings!$B$3)))-MONTH($R181)+1))</f>
        <v/>
      </c>
      <c r="AL181" s="23">
        <f>IF(OR($S181="",$R181=""),"",ROUND(MAX(0,IF($W181="Straight-line",IF(N($V181)&lt;=0,0,($S181-N($U181))*MIN($AK181,$V181)/$V181),IF($W181="Reducing balance",MIN(($S181-N($U181)),$S181-$S181*(1-N($AG181))^INT($AK181/12)*(1-N($AG181)*MOD($AK181,12)/12)),IF($W181="DDB",IF(N($V181)&lt;=0,0,MIN(($S181-N($U181)),$S181-$S181*(1-MIN(1,24/$V181))^INT($AK181/12)*(1-MIN(1,24/$V181)*MOD($AK181,12)/12))),IF($W181="SYD",IF(N($V181)&lt;=0,0,($S181-N($U181))*(INT(MIN($AK181,$V181)/12)*(2*($V181/12)-INT(MIN($AK181,$V181)/12)+1)/2+MOD(MIN($AK181,$V181),12)/12*(($V181/12)-INT(MIN($AK181,$V181)/12)))/(($V181/12)*(($V181/12)+1)/2)),0))))),2))</f>
        <v/>
      </c>
      <c r="AM181" s="23">
        <f>IF($X181="","",$X181-$AL181)</f>
        <v/>
      </c>
      <c r="AN181" s="23">
        <f>IF(OR($AH181="",$Y181=""),"",N($AI181)-$Y181)</f>
        <v/>
      </c>
    </row>
    <row r="182">
      <c r="Q182" s="20" t="n"/>
      <c r="R182" s="20" t="n"/>
      <c r="S182" s="21" t="n"/>
      <c r="U182" s="21" t="n"/>
      <c r="V182" s="22" t="n"/>
      <c r="X182" s="23">
        <f>IF(OR($S182="",$R182=""),"",ROUND(MAX(0,IF($W182="Straight-line",IF(N($V182)&lt;=0,0,($S182-N($U182))*MIN($AJ182,$V182)/$V182),IF($W182="Reducing balance",MIN(($S182-N($U182)),$S182-$S182*(1-N($AG182))^INT($AJ182/12)*(1-N($AG182)*MOD($AJ182,12)/12)),IF($W182="DDB",IF(N($V182)&lt;=0,0,MIN(($S182-N($U182)),$S182-$S182*(1-MIN(1,24/$V182))^INT($AJ182/12)*(1-MIN(1,24/$V182)*MOD($AJ182,12)/12))),IF($W182="SYD",IF(N($V182)&lt;=0,0,($S182-N($U182))*(INT(MIN($AJ182,$V182)/12)*(2*($V182/12)-INT(MIN($AJ182,$V182)/12)+1)/2+MOD(MIN($AJ182,$V182),12)/12*(($V182/12)-INT(MIN($AJ182,$V182)/12)))/(($V182/12)*(($V182/12)+1)/2)),0))))),2))</f>
        <v/>
      </c>
      <c r="Y182" s="23">
        <f>IF($X182="","",$S182-$X182)</f>
        <v/>
      </c>
      <c r="AD182" s="20" t="n"/>
      <c r="AG182" s="24" t="n"/>
      <c r="AH182" s="20" t="n"/>
      <c r="AI182" s="21" t="n"/>
      <c r="AJ182" s="25">
        <f>IF($R182="","",IF($R182&gt;IF($AH182&lt;&gt;"",MIN($AH182,Settings!$B$3),Settings!$B$3),0,(YEAR(IF($AH182&lt;&gt;"",MIN($AH182,Settings!$B$3),Settings!$B$3))-YEAR($R182))*12+MONTH(IF($AH182&lt;&gt;"",MIN($AH182,Settings!$B$3),Settings!$B$3))-MONTH($R182)+1))</f>
        <v/>
      </c>
      <c r="AK182" s="25">
        <f>IF($R182="","",IF($R182&gt;MIN(Settings!$B$4-1,IF($AH182&lt;&gt;"",MIN($AH182,Settings!$B$3),Settings!$B$3)),0,(YEAR(MIN(Settings!$B$4-1,IF($AH182&lt;&gt;"",MIN($AH182,Settings!$B$3),Settings!$B$3)))-YEAR($R182))*12+MONTH(MIN(Settings!$B$4-1,IF($AH182&lt;&gt;"",MIN($AH182,Settings!$B$3),Settings!$B$3)))-MONTH($R182)+1))</f>
        <v/>
      </c>
      <c r="AL182" s="23">
        <f>IF(OR($S182="",$R182=""),"",ROUND(MAX(0,IF($W182="Straight-line",IF(N($V182)&lt;=0,0,($S182-N($U182))*MIN($AK182,$V182)/$V182),IF($W182="Reducing balance",MIN(($S182-N($U182)),$S182-$S182*(1-N($AG182))^INT($AK182/12)*(1-N($AG182)*MOD($AK182,12)/12)),IF($W182="DDB",IF(N($V182)&lt;=0,0,MIN(($S182-N($U182)),$S182-$S182*(1-MIN(1,24/$V182))^INT($AK182/12)*(1-MIN(1,24/$V182)*MOD($AK182,12)/12))),IF($W182="SYD",IF(N($V182)&lt;=0,0,($S182-N($U182))*(INT(MIN($AK182,$V182)/12)*(2*($V182/12)-INT(MIN($AK182,$V182)/12)+1)/2+MOD(MIN($AK182,$V182),12)/12*(($V182/12)-INT(MIN($AK182,$V182)/12)))/(($V182/12)*(($V182/12)+1)/2)),0))))),2))</f>
        <v/>
      </c>
      <c r="AM182" s="23">
        <f>IF($X182="","",$X182-$AL182)</f>
        <v/>
      </c>
      <c r="AN182" s="23">
        <f>IF(OR($AH182="",$Y182=""),"",N($AI182)-$Y182)</f>
        <v/>
      </c>
    </row>
    <row r="183">
      <c r="Q183" s="20" t="n"/>
      <c r="R183" s="20" t="n"/>
      <c r="S183" s="21" t="n"/>
      <c r="U183" s="21" t="n"/>
      <c r="V183" s="22" t="n"/>
      <c r="X183" s="23">
        <f>IF(OR($S183="",$R183=""),"",ROUND(MAX(0,IF($W183="Straight-line",IF(N($V183)&lt;=0,0,($S183-N($U183))*MIN($AJ183,$V183)/$V183),IF($W183="Reducing balance",MIN(($S183-N($U183)),$S183-$S183*(1-N($AG183))^INT($AJ183/12)*(1-N($AG183)*MOD($AJ183,12)/12)),IF($W183="DDB",IF(N($V183)&lt;=0,0,MIN(($S183-N($U183)),$S183-$S183*(1-MIN(1,24/$V183))^INT($AJ183/12)*(1-MIN(1,24/$V183)*MOD($AJ183,12)/12))),IF($W183="SYD",IF(N($V183)&lt;=0,0,($S183-N($U183))*(INT(MIN($AJ183,$V183)/12)*(2*($V183/12)-INT(MIN($AJ183,$V183)/12)+1)/2+MOD(MIN($AJ183,$V183),12)/12*(($V183/12)-INT(MIN($AJ183,$V183)/12)))/(($V183/12)*(($V183/12)+1)/2)),0))))),2))</f>
        <v/>
      </c>
      <c r="Y183" s="23">
        <f>IF($X183="","",$S183-$X183)</f>
        <v/>
      </c>
      <c r="AD183" s="20" t="n"/>
      <c r="AG183" s="24" t="n"/>
      <c r="AH183" s="20" t="n"/>
      <c r="AI183" s="21" t="n"/>
      <c r="AJ183" s="25">
        <f>IF($R183="","",IF($R183&gt;IF($AH183&lt;&gt;"",MIN($AH183,Settings!$B$3),Settings!$B$3),0,(YEAR(IF($AH183&lt;&gt;"",MIN($AH183,Settings!$B$3),Settings!$B$3))-YEAR($R183))*12+MONTH(IF($AH183&lt;&gt;"",MIN($AH183,Settings!$B$3),Settings!$B$3))-MONTH($R183)+1))</f>
        <v/>
      </c>
      <c r="AK183" s="25">
        <f>IF($R183="","",IF($R183&gt;MIN(Settings!$B$4-1,IF($AH183&lt;&gt;"",MIN($AH183,Settings!$B$3),Settings!$B$3)),0,(YEAR(MIN(Settings!$B$4-1,IF($AH183&lt;&gt;"",MIN($AH183,Settings!$B$3),Settings!$B$3)))-YEAR($R183))*12+MONTH(MIN(Settings!$B$4-1,IF($AH183&lt;&gt;"",MIN($AH183,Settings!$B$3),Settings!$B$3)))-MONTH($R183)+1))</f>
        <v/>
      </c>
      <c r="AL183" s="23">
        <f>IF(OR($S183="",$R183=""),"",ROUND(MAX(0,IF($W183="Straight-line",IF(N($V183)&lt;=0,0,($S183-N($U183))*MIN($AK183,$V183)/$V183),IF($W183="Reducing balance",MIN(($S183-N($U183)),$S183-$S183*(1-N($AG183))^INT($AK183/12)*(1-N($AG183)*MOD($AK183,12)/12)),IF($W183="DDB",IF(N($V183)&lt;=0,0,MIN(($S183-N($U183)),$S183-$S183*(1-MIN(1,24/$V183))^INT($AK183/12)*(1-MIN(1,24/$V183)*MOD($AK183,12)/12))),IF($W183="SYD",IF(N($V183)&lt;=0,0,($S183-N($U183))*(INT(MIN($AK183,$V183)/12)*(2*($V183/12)-INT(MIN($AK183,$V183)/12)+1)/2+MOD(MIN($AK183,$V183),12)/12*(($V183/12)-INT(MIN($AK183,$V183)/12)))/(($V183/12)*(($V183/12)+1)/2)),0))))),2))</f>
        <v/>
      </c>
      <c r="AM183" s="23">
        <f>IF($X183="","",$X183-$AL183)</f>
        <v/>
      </c>
      <c r="AN183" s="23">
        <f>IF(OR($AH183="",$Y183=""),"",N($AI183)-$Y183)</f>
        <v/>
      </c>
    </row>
    <row r="184">
      <c r="Q184" s="20" t="n"/>
      <c r="R184" s="20" t="n"/>
      <c r="S184" s="21" t="n"/>
      <c r="U184" s="21" t="n"/>
      <c r="V184" s="22" t="n"/>
      <c r="X184" s="23">
        <f>IF(OR($S184="",$R184=""),"",ROUND(MAX(0,IF($W184="Straight-line",IF(N($V184)&lt;=0,0,($S184-N($U184))*MIN($AJ184,$V184)/$V184),IF($W184="Reducing balance",MIN(($S184-N($U184)),$S184-$S184*(1-N($AG184))^INT($AJ184/12)*(1-N($AG184)*MOD($AJ184,12)/12)),IF($W184="DDB",IF(N($V184)&lt;=0,0,MIN(($S184-N($U184)),$S184-$S184*(1-MIN(1,24/$V184))^INT($AJ184/12)*(1-MIN(1,24/$V184)*MOD($AJ184,12)/12))),IF($W184="SYD",IF(N($V184)&lt;=0,0,($S184-N($U184))*(INT(MIN($AJ184,$V184)/12)*(2*($V184/12)-INT(MIN($AJ184,$V184)/12)+1)/2+MOD(MIN($AJ184,$V184),12)/12*(($V184/12)-INT(MIN($AJ184,$V184)/12)))/(($V184/12)*(($V184/12)+1)/2)),0))))),2))</f>
        <v/>
      </c>
      <c r="Y184" s="23">
        <f>IF($X184="","",$S184-$X184)</f>
        <v/>
      </c>
      <c r="AD184" s="20" t="n"/>
      <c r="AG184" s="24" t="n"/>
      <c r="AH184" s="20" t="n"/>
      <c r="AI184" s="21" t="n"/>
      <c r="AJ184" s="25">
        <f>IF($R184="","",IF($R184&gt;IF($AH184&lt;&gt;"",MIN($AH184,Settings!$B$3),Settings!$B$3),0,(YEAR(IF($AH184&lt;&gt;"",MIN($AH184,Settings!$B$3),Settings!$B$3))-YEAR($R184))*12+MONTH(IF($AH184&lt;&gt;"",MIN($AH184,Settings!$B$3),Settings!$B$3))-MONTH($R184)+1))</f>
        <v/>
      </c>
      <c r="AK184" s="25">
        <f>IF($R184="","",IF($R184&gt;MIN(Settings!$B$4-1,IF($AH184&lt;&gt;"",MIN($AH184,Settings!$B$3),Settings!$B$3)),0,(YEAR(MIN(Settings!$B$4-1,IF($AH184&lt;&gt;"",MIN($AH184,Settings!$B$3),Settings!$B$3)))-YEAR($R184))*12+MONTH(MIN(Settings!$B$4-1,IF($AH184&lt;&gt;"",MIN($AH184,Settings!$B$3),Settings!$B$3)))-MONTH($R184)+1))</f>
        <v/>
      </c>
      <c r="AL184" s="23">
        <f>IF(OR($S184="",$R184=""),"",ROUND(MAX(0,IF($W184="Straight-line",IF(N($V184)&lt;=0,0,($S184-N($U184))*MIN($AK184,$V184)/$V184),IF($W184="Reducing balance",MIN(($S184-N($U184)),$S184-$S184*(1-N($AG184))^INT($AK184/12)*(1-N($AG184)*MOD($AK184,12)/12)),IF($W184="DDB",IF(N($V184)&lt;=0,0,MIN(($S184-N($U184)),$S184-$S184*(1-MIN(1,24/$V184))^INT($AK184/12)*(1-MIN(1,24/$V184)*MOD($AK184,12)/12))),IF($W184="SYD",IF(N($V184)&lt;=0,0,($S184-N($U184))*(INT(MIN($AK184,$V184)/12)*(2*($V184/12)-INT(MIN($AK184,$V184)/12)+1)/2+MOD(MIN($AK184,$V184),12)/12*(($V184/12)-INT(MIN($AK184,$V184)/12)))/(($V184/12)*(($V184/12)+1)/2)),0))))),2))</f>
        <v/>
      </c>
      <c r="AM184" s="23">
        <f>IF($X184="","",$X184-$AL184)</f>
        <v/>
      </c>
      <c r="AN184" s="23">
        <f>IF(OR($AH184="",$Y184=""),"",N($AI184)-$Y184)</f>
        <v/>
      </c>
    </row>
    <row r="185">
      <c r="Q185" s="20" t="n"/>
      <c r="R185" s="20" t="n"/>
      <c r="S185" s="21" t="n"/>
      <c r="U185" s="21" t="n"/>
      <c r="V185" s="22" t="n"/>
      <c r="X185" s="23">
        <f>IF(OR($S185="",$R185=""),"",ROUND(MAX(0,IF($W185="Straight-line",IF(N($V185)&lt;=0,0,($S185-N($U185))*MIN($AJ185,$V185)/$V185),IF($W185="Reducing balance",MIN(($S185-N($U185)),$S185-$S185*(1-N($AG185))^INT($AJ185/12)*(1-N($AG185)*MOD($AJ185,12)/12)),IF($W185="DDB",IF(N($V185)&lt;=0,0,MIN(($S185-N($U185)),$S185-$S185*(1-MIN(1,24/$V185))^INT($AJ185/12)*(1-MIN(1,24/$V185)*MOD($AJ185,12)/12))),IF($W185="SYD",IF(N($V185)&lt;=0,0,($S185-N($U185))*(INT(MIN($AJ185,$V185)/12)*(2*($V185/12)-INT(MIN($AJ185,$V185)/12)+1)/2+MOD(MIN($AJ185,$V185),12)/12*(($V185/12)-INT(MIN($AJ185,$V185)/12)))/(($V185/12)*(($V185/12)+1)/2)),0))))),2))</f>
        <v/>
      </c>
      <c r="Y185" s="23">
        <f>IF($X185="","",$S185-$X185)</f>
        <v/>
      </c>
      <c r="AD185" s="20" t="n"/>
      <c r="AG185" s="24" t="n"/>
      <c r="AH185" s="20" t="n"/>
      <c r="AI185" s="21" t="n"/>
      <c r="AJ185" s="25">
        <f>IF($R185="","",IF($R185&gt;IF($AH185&lt;&gt;"",MIN($AH185,Settings!$B$3),Settings!$B$3),0,(YEAR(IF($AH185&lt;&gt;"",MIN($AH185,Settings!$B$3),Settings!$B$3))-YEAR($R185))*12+MONTH(IF($AH185&lt;&gt;"",MIN($AH185,Settings!$B$3),Settings!$B$3))-MONTH($R185)+1))</f>
        <v/>
      </c>
      <c r="AK185" s="25">
        <f>IF($R185="","",IF($R185&gt;MIN(Settings!$B$4-1,IF($AH185&lt;&gt;"",MIN($AH185,Settings!$B$3),Settings!$B$3)),0,(YEAR(MIN(Settings!$B$4-1,IF($AH185&lt;&gt;"",MIN($AH185,Settings!$B$3),Settings!$B$3)))-YEAR($R185))*12+MONTH(MIN(Settings!$B$4-1,IF($AH185&lt;&gt;"",MIN($AH185,Settings!$B$3),Settings!$B$3)))-MONTH($R185)+1))</f>
        <v/>
      </c>
      <c r="AL185" s="23">
        <f>IF(OR($S185="",$R185=""),"",ROUND(MAX(0,IF($W185="Straight-line",IF(N($V185)&lt;=0,0,($S185-N($U185))*MIN($AK185,$V185)/$V185),IF($W185="Reducing balance",MIN(($S185-N($U185)),$S185-$S185*(1-N($AG185))^INT($AK185/12)*(1-N($AG185)*MOD($AK185,12)/12)),IF($W185="DDB",IF(N($V185)&lt;=0,0,MIN(($S185-N($U185)),$S185-$S185*(1-MIN(1,24/$V185))^INT($AK185/12)*(1-MIN(1,24/$V185)*MOD($AK185,12)/12))),IF($W185="SYD",IF(N($V185)&lt;=0,0,($S185-N($U185))*(INT(MIN($AK185,$V185)/12)*(2*($V185/12)-INT(MIN($AK185,$V185)/12)+1)/2+MOD(MIN($AK185,$V185),12)/12*(($V185/12)-INT(MIN($AK185,$V185)/12)))/(($V185/12)*(($V185/12)+1)/2)),0))))),2))</f>
        <v/>
      </c>
      <c r="AM185" s="23">
        <f>IF($X185="","",$X185-$AL185)</f>
        <v/>
      </c>
      <c r="AN185" s="23">
        <f>IF(OR($AH185="",$Y185=""),"",N($AI185)-$Y185)</f>
        <v/>
      </c>
    </row>
    <row r="186">
      <c r="Q186" s="20" t="n"/>
      <c r="R186" s="20" t="n"/>
      <c r="S186" s="21" t="n"/>
      <c r="U186" s="21" t="n"/>
      <c r="V186" s="22" t="n"/>
      <c r="X186" s="23">
        <f>IF(OR($S186="",$R186=""),"",ROUND(MAX(0,IF($W186="Straight-line",IF(N($V186)&lt;=0,0,($S186-N($U186))*MIN($AJ186,$V186)/$V186),IF($W186="Reducing balance",MIN(($S186-N($U186)),$S186-$S186*(1-N($AG186))^INT($AJ186/12)*(1-N($AG186)*MOD($AJ186,12)/12)),IF($W186="DDB",IF(N($V186)&lt;=0,0,MIN(($S186-N($U186)),$S186-$S186*(1-MIN(1,24/$V186))^INT($AJ186/12)*(1-MIN(1,24/$V186)*MOD($AJ186,12)/12))),IF($W186="SYD",IF(N($V186)&lt;=0,0,($S186-N($U186))*(INT(MIN($AJ186,$V186)/12)*(2*($V186/12)-INT(MIN($AJ186,$V186)/12)+1)/2+MOD(MIN($AJ186,$V186),12)/12*(($V186/12)-INT(MIN($AJ186,$V186)/12)))/(($V186/12)*(($V186/12)+1)/2)),0))))),2))</f>
        <v/>
      </c>
      <c r="Y186" s="23">
        <f>IF($X186="","",$S186-$X186)</f>
        <v/>
      </c>
      <c r="AD186" s="20" t="n"/>
      <c r="AG186" s="24" t="n"/>
      <c r="AH186" s="20" t="n"/>
      <c r="AI186" s="21" t="n"/>
      <c r="AJ186" s="25">
        <f>IF($R186="","",IF($R186&gt;IF($AH186&lt;&gt;"",MIN($AH186,Settings!$B$3),Settings!$B$3),0,(YEAR(IF($AH186&lt;&gt;"",MIN($AH186,Settings!$B$3),Settings!$B$3))-YEAR($R186))*12+MONTH(IF($AH186&lt;&gt;"",MIN($AH186,Settings!$B$3),Settings!$B$3))-MONTH($R186)+1))</f>
        <v/>
      </c>
      <c r="AK186" s="25">
        <f>IF($R186="","",IF($R186&gt;MIN(Settings!$B$4-1,IF($AH186&lt;&gt;"",MIN($AH186,Settings!$B$3),Settings!$B$3)),0,(YEAR(MIN(Settings!$B$4-1,IF($AH186&lt;&gt;"",MIN($AH186,Settings!$B$3),Settings!$B$3)))-YEAR($R186))*12+MONTH(MIN(Settings!$B$4-1,IF($AH186&lt;&gt;"",MIN($AH186,Settings!$B$3),Settings!$B$3)))-MONTH($R186)+1))</f>
        <v/>
      </c>
      <c r="AL186" s="23">
        <f>IF(OR($S186="",$R186=""),"",ROUND(MAX(0,IF($W186="Straight-line",IF(N($V186)&lt;=0,0,($S186-N($U186))*MIN($AK186,$V186)/$V186),IF($W186="Reducing balance",MIN(($S186-N($U186)),$S186-$S186*(1-N($AG186))^INT($AK186/12)*(1-N($AG186)*MOD($AK186,12)/12)),IF($W186="DDB",IF(N($V186)&lt;=0,0,MIN(($S186-N($U186)),$S186-$S186*(1-MIN(1,24/$V186))^INT($AK186/12)*(1-MIN(1,24/$V186)*MOD($AK186,12)/12))),IF($W186="SYD",IF(N($V186)&lt;=0,0,($S186-N($U186))*(INT(MIN($AK186,$V186)/12)*(2*($V186/12)-INT(MIN($AK186,$V186)/12)+1)/2+MOD(MIN($AK186,$V186),12)/12*(($V186/12)-INT(MIN($AK186,$V186)/12)))/(($V186/12)*(($V186/12)+1)/2)),0))))),2))</f>
        <v/>
      </c>
      <c r="AM186" s="23">
        <f>IF($X186="","",$X186-$AL186)</f>
        <v/>
      </c>
      <c r="AN186" s="23">
        <f>IF(OR($AH186="",$Y186=""),"",N($AI186)-$Y186)</f>
        <v/>
      </c>
    </row>
    <row r="187">
      <c r="Q187" s="20" t="n"/>
      <c r="R187" s="20" t="n"/>
      <c r="S187" s="21" t="n"/>
      <c r="U187" s="21" t="n"/>
      <c r="V187" s="22" t="n"/>
      <c r="X187" s="23">
        <f>IF(OR($S187="",$R187=""),"",ROUND(MAX(0,IF($W187="Straight-line",IF(N($V187)&lt;=0,0,($S187-N($U187))*MIN($AJ187,$V187)/$V187),IF($W187="Reducing balance",MIN(($S187-N($U187)),$S187-$S187*(1-N($AG187))^INT($AJ187/12)*(1-N($AG187)*MOD($AJ187,12)/12)),IF($W187="DDB",IF(N($V187)&lt;=0,0,MIN(($S187-N($U187)),$S187-$S187*(1-MIN(1,24/$V187))^INT($AJ187/12)*(1-MIN(1,24/$V187)*MOD($AJ187,12)/12))),IF($W187="SYD",IF(N($V187)&lt;=0,0,($S187-N($U187))*(INT(MIN($AJ187,$V187)/12)*(2*($V187/12)-INT(MIN($AJ187,$V187)/12)+1)/2+MOD(MIN($AJ187,$V187),12)/12*(($V187/12)-INT(MIN($AJ187,$V187)/12)))/(($V187/12)*(($V187/12)+1)/2)),0))))),2))</f>
        <v/>
      </c>
      <c r="Y187" s="23">
        <f>IF($X187="","",$S187-$X187)</f>
        <v/>
      </c>
      <c r="AD187" s="20" t="n"/>
      <c r="AG187" s="24" t="n"/>
      <c r="AH187" s="20" t="n"/>
      <c r="AI187" s="21" t="n"/>
      <c r="AJ187" s="25">
        <f>IF($R187="","",IF($R187&gt;IF($AH187&lt;&gt;"",MIN($AH187,Settings!$B$3),Settings!$B$3),0,(YEAR(IF($AH187&lt;&gt;"",MIN($AH187,Settings!$B$3),Settings!$B$3))-YEAR($R187))*12+MONTH(IF($AH187&lt;&gt;"",MIN($AH187,Settings!$B$3),Settings!$B$3))-MONTH($R187)+1))</f>
        <v/>
      </c>
      <c r="AK187" s="25">
        <f>IF($R187="","",IF($R187&gt;MIN(Settings!$B$4-1,IF($AH187&lt;&gt;"",MIN($AH187,Settings!$B$3),Settings!$B$3)),0,(YEAR(MIN(Settings!$B$4-1,IF($AH187&lt;&gt;"",MIN($AH187,Settings!$B$3),Settings!$B$3)))-YEAR($R187))*12+MONTH(MIN(Settings!$B$4-1,IF($AH187&lt;&gt;"",MIN($AH187,Settings!$B$3),Settings!$B$3)))-MONTH($R187)+1))</f>
        <v/>
      </c>
      <c r="AL187" s="23">
        <f>IF(OR($S187="",$R187=""),"",ROUND(MAX(0,IF($W187="Straight-line",IF(N($V187)&lt;=0,0,($S187-N($U187))*MIN($AK187,$V187)/$V187),IF($W187="Reducing balance",MIN(($S187-N($U187)),$S187-$S187*(1-N($AG187))^INT($AK187/12)*(1-N($AG187)*MOD($AK187,12)/12)),IF($W187="DDB",IF(N($V187)&lt;=0,0,MIN(($S187-N($U187)),$S187-$S187*(1-MIN(1,24/$V187))^INT($AK187/12)*(1-MIN(1,24/$V187)*MOD($AK187,12)/12))),IF($W187="SYD",IF(N($V187)&lt;=0,0,($S187-N($U187))*(INT(MIN($AK187,$V187)/12)*(2*($V187/12)-INT(MIN($AK187,$V187)/12)+1)/2+MOD(MIN($AK187,$V187),12)/12*(($V187/12)-INT(MIN($AK187,$V187)/12)))/(($V187/12)*(($V187/12)+1)/2)),0))))),2))</f>
        <v/>
      </c>
      <c r="AM187" s="23">
        <f>IF($X187="","",$X187-$AL187)</f>
        <v/>
      </c>
      <c r="AN187" s="23">
        <f>IF(OR($AH187="",$Y187=""),"",N($AI187)-$Y187)</f>
        <v/>
      </c>
    </row>
    <row r="188">
      <c r="Q188" s="20" t="n"/>
      <c r="R188" s="20" t="n"/>
      <c r="S188" s="21" t="n"/>
      <c r="U188" s="21" t="n"/>
      <c r="V188" s="22" t="n"/>
      <c r="X188" s="23">
        <f>IF(OR($S188="",$R188=""),"",ROUND(MAX(0,IF($W188="Straight-line",IF(N($V188)&lt;=0,0,($S188-N($U188))*MIN($AJ188,$V188)/$V188),IF($W188="Reducing balance",MIN(($S188-N($U188)),$S188-$S188*(1-N($AG188))^INT($AJ188/12)*(1-N($AG188)*MOD($AJ188,12)/12)),IF($W188="DDB",IF(N($V188)&lt;=0,0,MIN(($S188-N($U188)),$S188-$S188*(1-MIN(1,24/$V188))^INT($AJ188/12)*(1-MIN(1,24/$V188)*MOD($AJ188,12)/12))),IF($W188="SYD",IF(N($V188)&lt;=0,0,($S188-N($U188))*(INT(MIN($AJ188,$V188)/12)*(2*($V188/12)-INT(MIN($AJ188,$V188)/12)+1)/2+MOD(MIN($AJ188,$V188),12)/12*(($V188/12)-INT(MIN($AJ188,$V188)/12)))/(($V188/12)*(($V188/12)+1)/2)),0))))),2))</f>
        <v/>
      </c>
      <c r="Y188" s="23">
        <f>IF($X188="","",$S188-$X188)</f>
        <v/>
      </c>
      <c r="AD188" s="20" t="n"/>
      <c r="AG188" s="24" t="n"/>
      <c r="AH188" s="20" t="n"/>
      <c r="AI188" s="21" t="n"/>
      <c r="AJ188" s="25">
        <f>IF($R188="","",IF($R188&gt;IF($AH188&lt;&gt;"",MIN($AH188,Settings!$B$3),Settings!$B$3),0,(YEAR(IF($AH188&lt;&gt;"",MIN($AH188,Settings!$B$3),Settings!$B$3))-YEAR($R188))*12+MONTH(IF($AH188&lt;&gt;"",MIN($AH188,Settings!$B$3),Settings!$B$3))-MONTH($R188)+1))</f>
        <v/>
      </c>
      <c r="AK188" s="25">
        <f>IF($R188="","",IF($R188&gt;MIN(Settings!$B$4-1,IF($AH188&lt;&gt;"",MIN($AH188,Settings!$B$3),Settings!$B$3)),0,(YEAR(MIN(Settings!$B$4-1,IF($AH188&lt;&gt;"",MIN($AH188,Settings!$B$3),Settings!$B$3)))-YEAR($R188))*12+MONTH(MIN(Settings!$B$4-1,IF($AH188&lt;&gt;"",MIN($AH188,Settings!$B$3),Settings!$B$3)))-MONTH($R188)+1))</f>
        <v/>
      </c>
      <c r="AL188" s="23">
        <f>IF(OR($S188="",$R188=""),"",ROUND(MAX(0,IF($W188="Straight-line",IF(N($V188)&lt;=0,0,($S188-N($U188))*MIN($AK188,$V188)/$V188),IF($W188="Reducing balance",MIN(($S188-N($U188)),$S188-$S188*(1-N($AG188))^INT($AK188/12)*(1-N($AG188)*MOD($AK188,12)/12)),IF($W188="DDB",IF(N($V188)&lt;=0,0,MIN(($S188-N($U188)),$S188-$S188*(1-MIN(1,24/$V188))^INT($AK188/12)*(1-MIN(1,24/$V188)*MOD($AK188,12)/12))),IF($W188="SYD",IF(N($V188)&lt;=0,0,($S188-N($U188))*(INT(MIN($AK188,$V188)/12)*(2*($V188/12)-INT(MIN($AK188,$V188)/12)+1)/2+MOD(MIN($AK188,$V188),12)/12*(($V188/12)-INT(MIN($AK188,$V188)/12)))/(($V188/12)*(($V188/12)+1)/2)),0))))),2))</f>
        <v/>
      </c>
      <c r="AM188" s="23">
        <f>IF($X188="","",$X188-$AL188)</f>
        <v/>
      </c>
      <c r="AN188" s="23">
        <f>IF(OR($AH188="",$Y188=""),"",N($AI188)-$Y188)</f>
        <v/>
      </c>
    </row>
    <row r="189">
      <c r="Q189" s="20" t="n"/>
      <c r="R189" s="20" t="n"/>
      <c r="S189" s="21" t="n"/>
      <c r="U189" s="21" t="n"/>
      <c r="V189" s="22" t="n"/>
      <c r="X189" s="23">
        <f>IF(OR($S189="",$R189=""),"",ROUND(MAX(0,IF($W189="Straight-line",IF(N($V189)&lt;=0,0,($S189-N($U189))*MIN($AJ189,$V189)/$V189),IF($W189="Reducing balance",MIN(($S189-N($U189)),$S189-$S189*(1-N($AG189))^INT($AJ189/12)*(1-N($AG189)*MOD($AJ189,12)/12)),IF($W189="DDB",IF(N($V189)&lt;=0,0,MIN(($S189-N($U189)),$S189-$S189*(1-MIN(1,24/$V189))^INT($AJ189/12)*(1-MIN(1,24/$V189)*MOD($AJ189,12)/12))),IF($W189="SYD",IF(N($V189)&lt;=0,0,($S189-N($U189))*(INT(MIN($AJ189,$V189)/12)*(2*($V189/12)-INT(MIN($AJ189,$V189)/12)+1)/2+MOD(MIN($AJ189,$V189),12)/12*(($V189/12)-INT(MIN($AJ189,$V189)/12)))/(($V189/12)*(($V189/12)+1)/2)),0))))),2))</f>
        <v/>
      </c>
      <c r="Y189" s="23">
        <f>IF($X189="","",$S189-$X189)</f>
        <v/>
      </c>
      <c r="AD189" s="20" t="n"/>
      <c r="AG189" s="24" t="n"/>
      <c r="AH189" s="20" t="n"/>
      <c r="AI189" s="21" t="n"/>
      <c r="AJ189" s="25">
        <f>IF($R189="","",IF($R189&gt;IF($AH189&lt;&gt;"",MIN($AH189,Settings!$B$3),Settings!$B$3),0,(YEAR(IF($AH189&lt;&gt;"",MIN($AH189,Settings!$B$3),Settings!$B$3))-YEAR($R189))*12+MONTH(IF($AH189&lt;&gt;"",MIN($AH189,Settings!$B$3),Settings!$B$3))-MONTH($R189)+1))</f>
        <v/>
      </c>
      <c r="AK189" s="25">
        <f>IF($R189="","",IF($R189&gt;MIN(Settings!$B$4-1,IF($AH189&lt;&gt;"",MIN($AH189,Settings!$B$3),Settings!$B$3)),0,(YEAR(MIN(Settings!$B$4-1,IF($AH189&lt;&gt;"",MIN($AH189,Settings!$B$3),Settings!$B$3)))-YEAR($R189))*12+MONTH(MIN(Settings!$B$4-1,IF($AH189&lt;&gt;"",MIN($AH189,Settings!$B$3),Settings!$B$3)))-MONTH($R189)+1))</f>
        <v/>
      </c>
      <c r="AL189" s="23">
        <f>IF(OR($S189="",$R189=""),"",ROUND(MAX(0,IF($W189="Straight-line",IF(N($V189)&lt;=0,0,($S189-N($U189))*MIN($AK189,$V189)/$V189),IF($W189="Reducing balance",MIN(($S189-N($U189)),$S189-$S189*(1-N($AG189))^INT($AK189/12)*(1-N($AG189)*MOD($AK189,12)/12)),IF($W189="DDB",IF(N($V189)&lt;=0,0,MIN(($S189-N($U189)),$S189-$S189*(1-MIN(1,24/$V189))^INT($AK189/12)*(1-MIN(1,24/$V189)*MOD($AK189,12)/12))),IF($W189="SYD",IF(N($V189)&lt;=0,0,($S189-N($U189))*(INT(MIN($AK189,$V189)/12)*(2*($V189/12)-INT(MIN($AK189,$V189)/12)+1)/2+MOD(MIN($AK189,$V189),12)/12*(($V189/12)-INT(MIN($AK189,$V189)/12)))/(($V189/12)*(($V189/12)+1)/2)),0))))),2))</f>
        <v/>
      </c>
      <c r="AM189" s="23">
        <f>IF($X189="","",$X189-$AL189)</f>
        <v/>
      </c>
      <c r="AN189" s="23">
        <f>IF(OR($AH189="",$Y189=""),"",N($AI189)-$Y189)</f>
        <v/>
      </c>
    </row>
    <row r="190">
      <c r="Q190" s="20" t="n"/>
      <c r="R190" s="20" t="n"/>
      <c r="S190" s="21" t="n"/>
      <c r="U190" s="21" t="n"/>
      <c r="V190" s="22" t="n"/>
      <c r="X190" s="23">
        <f>IF(OR($S190="",$R190=""),"",ROUND(MAX(0,IF($W190="Straight-line",IF(N($V190)&lt;=0,0,($S190-N($U190))*MIN($AJ190,$V190)/$V190),IF($W190="Reducing balance",MIN(($S190-N($U190)),$S190-$S190*(1-N($AG190))^INT($AJ190/12)*(1-N($AG190)*MOD($AJ190,12)/12)),IF($W190="DDB",IF(N($V190)&lt;=0,0,MIN(($S190-N($U190)),$S190-$S190*(1-MIN(1,24/$V190))^INT($AJ190/12)*(1-MIN(1,24/$V190)*MOD($AJ190,12)/12))),IF($W190="SYD",IF(N($V190)&lt;=0,0,($S190-N($U190))*(INT(MIN($AJ190,$V190)/12)*(2*($V190/12)-INT(MIN($AJ190,$V190)/12)+1)/2+MOD(MIN($AJ190,$V190),12)/12*(($V190/12)-INT(MIN($AJ190,$V190)/12)))/(($V190/12)*(($V190/12)+1)/2)),0))))),2))</f>
        <v/>
      </c>
      <c r="Y190" s="23">
        <f>IF($X190="","",$S190-$X190)</f>
        <v/>
      </c>
      <c r="AD190" s="20" t="n"/>
      <c r="AG190" s="24" t="n"/>
      <c r="AH190" s="20" t="n"/>
      <c r="AI190" s="21" t="n"/>
      <c r="AJ190" s="25">
        <f>IF($R190="","",IF($R190&gt;IF($AH190&lt;&gt;"",MIN($AH190,Settings!$B$3),Settings!$B$3),0,(YEAR(IF($AH190&lt;&gt;"",MIN($AH190,Settings!$B$3),Settings!$B$3))-YEAR($R190))*12+MONTH(IF($AH190&lt;&gt;"",MIN($AH190,Settings!$B$3),Settings!$B$3))-MONTH($R190)+1))</f>
        <v/>
      </c>
      <c r="AK190" s="25">
        <f>IF($R190="","",IF($R190&gt;MIN(Settings!$B$4-1,IF($AH190&lt;&gt;"",MIN($AH190,Settings!$B$3),Settings!$B$3)),0,(YEAR(MIN(Settings!$B$4-1,IF($AH190&lt;&gt;"",MIN($AH190,Settings!$B$3),Settings!$B$3)))-YEAR($R190))*12+MONTH(MIN(Settings!$B$4-1,IF($AH190&lt;&gt;"",MIN($AH190,Settings!$B$3),Settings!$B$3)))-MONTH($R190)+1))</f>
        <v/>
      </c>
      <c r="AL190" s="23">
        <f>IF(OR($S190="",$R190=""),"",ROUND(MAX(0,IF($W190="Straight-line",IF(N($V190)&lt;=0,0,($S190-N($U190))*MIN($AK190,$V190)/$V190),IF($W190="Reducing balance",MIN(($S190-N($U190)),$S190-$S190*(1-N($AG190))^INT($AK190/12)*(1-N($AG190)*MOD($AK190,12)/12)),IF($W190="DDB",IF(N($V190)&lt;=0,0,MIN(($S190-N($U190)),$S190-$S190*(1-MIN(1,24/$V190))^INT($AK190/12)*(1-MIN(1,24/$V190)*MOD($AK190,12)/12))),IF($W190="SYD",IF(N($V190)&lt;=0,0,($S190-N($U190))*(INT(MIN($AK190,$V190)/12)*(2*($V190/12)-INT(MIN($AK190,$V190)/12)+1)/2+MOD(MIN($AK190,$V190),12)/12*(($V190/12)-INT(MIN($AK190,$V190)/12)))/(($V190/12)*(($V190/12)+1)/2)),0))))),2))</f>
        <v/>
      </c>
      <c r="AM190" s="23">
        <f>IF($X190="","",$X190-$AL190)</f>
        <v/>
      </c>
      <c r="AN190" s="23">
        <f>IF(OR($AH190="",$Y190=""),"",N($AI190)-$Y190)</f>
        <v/>
      </c>
    </row>
    <row r="191">
      <c r="Q191" s="20" t="n"/>
      <c r="R191" s="20" t="n"/>
      <c r="S191" s="21" t="n"/>
      <c r="U191" s="21" t="n"/>
      <c r="V191" s="22" t="n"/>
      <c r="X191" s="23">
        <f>IF(OR($S191="",$R191=""),"",ROUND(MAX(0,IF($W191="Straight-line",IF(N($V191)&lt;=0,0,($S191-N($U191))*MIN($AJ191,$V191)/$V191),IF($W191="Reducing balance",MIN(($S191-N($U191)),$S191-$S191*(1-N($AG191))^INT($AJ191/12)*(1-N($AG191)*MOD($AJ191,12)/12)),IF($W191="DDB",IF(N($V191)&lt;=0,0,MIN(($S191-N($U191)),$S191-$S191*(1-MIN(1,24/$V191))^INT($AJ191/12)*(1-MIN(1,24/$V191)*MOD($AJ191,12)/12))),IF($W191="SYD",IF(N($V191)&lt;=0,0,($S191-N($U191))*(INT(MIN($AJ191,$V191)/12)*(2*($V191/12)-INT(MIN($AJ191,$V191)/12)+1)/2+MOD(MIN($AJ191,$V191),12)/12*(($V191/12)-INT(MIN($AJ191,$V191)/12)))/(($V191/12)*(($V191/12)+1)/2)),0))))),2))</f>
        <v/>
      </c>
      <c r="Y191" s="23">
        <f>IF($X191="","",$S191-$X191)</f>
        <v/>
      </c>
      <c r="AD191" s="20" t="n"/>
      <c r="AG191" s="24" t="n"/>
      <c r="AH191" s="20" t="n"/>
      <c r="AI191" s="21" t="n"/>
      <c r="AJ191" s="25">
        <f>IF($R191="","",IF($R191&gt;IF($AH191&lt;&gt;"",MIN($AH191,Settings!$B$3),Settings!$B$3),0,(YEAR(IF($AH191&lt;&gt;"",MIN($AH191,Settings!$B$3),Settings!$B$3))-YEAR($R191))*12+MONTH(IF($AH191&lt;&gt;"",MIN($AH191,Settings!$B$3),Settings!$B$3))-MONTH($R191)+1))</f>
        <v/>
      </c>
      <c r="AK191" s="25">
        <f>IF($R191="","",IF($R191&gt;MIN(Settings!$B$4-1,IF($AH191&lt;&gt;"",MIN($AH191,Settings!$B$3),Settings!$B$3)),0,(YEAR(MIN(Settings!$B$4-1,IF($AH191&lt;&gt;"",MIN($AH191,Settings!$B$3),Settings!$B$3)))-YEAR($R191))*12+MONTH(MIN(Settings!$B$4-1,IF($AH191&lt;&gt;"",MIN($AH191,Settings!$B$3),Settings!$B$3)))-MONTH($R191)+1))</f>
        <v/>
      </c>
      <c r="AL191" s="23">
        <f>IF(OR($S191="",$R191=""),"",ROUND(MAX(0,IF($W191="Straight-line",IF(N($V191)&lt;=0,0,($S191-N($U191))*MIN($AK191,$V191)/$V191),IF($W191="Reducing balance",MIN(($S191-N($U191)),$S191-$S191*(1-N($AG191))^INT($AK191/12)*(1-N($AG191)*MOD($AK191,12)/12)),IF($W191="DDB",IF(N($V191)&lt;=0,0,MIN(($S191-N($U191)),$S191-$S191*(1-MIN(1,24/$V191))^INT($AK191/12)*(1-MIN(1,24/$V191)*MOD($AK191,12)/12))),IF($W191="SYD",IF(N($V191)&lt;=0,0,($S191-N($U191))*(INT(MIN($AK191,$V191)/12)*(2*($V191/12)-INT(MIN($AK191,$V191)/12)+1)/2+MOD(MIN($AK191,$V191),12)/12*(($V191/12)-INT(MIN($AK191,$V191)/12)))/(($V191/12)*(($V191/12)+1)/2)),0))))),2))</f>
        <v/>
      </c>
      <c r="AM191" s="23">
        <f>IF($X191="","",$X191-$AL191)</f>
        <v/>
      </c>
      <c r="AN191" s="23">
        <f>IF(OR($AH191="",$Y191=""),"",N($AI191)-$Y191)</f>
        <v/>
      </c>
    </row>
    <row r="192">
      <c r="Q192" s="20" t="n"/>
      <c r="R192" s="20" t="n"/>
      <c r="S192" s="21" t="n"/>
      <c r="U192" s="21" t="n"/>
      <c r="V192" s="22" t="n"/>
      <c r="X192" s="23">
        <f>IF(OR($S192="",$R192=""),"",ROUND(MAX(0,IF($W192="Straight-line",IF(N($V192)&lt;=0,0,($S192-N($U192))*MIN($AJ192,$V192)/$V192),IF($W192="Reducing balance",MIN(($S192-N($U192)),$S192-$S192*(1-N($AG192))^INT($AJ192/12)*(1-N($AG192)*MOD($AJ192,12)/12)),IF($W192="DDB",IF(N($V192)&lt;=0,0,MIN(($S192-N($U192)),$S192-$S192*(1-MIN(1,24/$V192))^INT($AJ192/12)*(1-MIN(1,24/$V192)*MOD($AJ192,12)/12))),IF($W192="SYD",IF(N($V192)&lt;=0,0,($S192-N($U192))*(INT(MIN($AJ192,$V192)/12)*(2*($V192/12)-INT(MIN($AJ192,$V192)/12)+1)/2+MOD(MIN($AJ192,$V192),12)/12*(($V192/12)-INT(MIN($AJ192,$V192)/12)))/(($V192/12)*(($V192/12)+1)/2)),0))))),2))</f>
        <v/>
      </c>
      <c r="Y192" s="23">
        <f>IF($X192="","",$S192-$X192)</f>
        <v/>
      </c>
      <c r="AD192" s="20" t="n"/>
      <c r="AG192" s="24" t="n"/>
      <c r="AH192" s="20" t="n"/>
      <c r="AI192" s="21" t="n"/>
      <c r="AJ192" s="25">
        <f>IF($R192="","",IF($R192&gt;IF($AH192&lt;&gt;"",MIN($AH192,Settings!$B$3),Settings!$B$3),0,(YEAR(IF($AH192&lt;&gt;"",MIN($AH192,Settings!$B$3),Settings!$B$3))-YEAR($R192))*12+MONTH(IF($AH192&lt;&gt;"",MIN($AH192,Settings!$B$3),Settings!$B$3))-MONTH($R192)+1))</f>
        <v/>
      </c>
      <c r="AK192" s="25">
        <f>IF($R192="","",IF($R192&gt;MIN(Settings!$B$4-1,IF($AH192&lt;&gt;"",MIN($AH192,Settings!$B$3),Settings!$B$3)),0,(YEAR(MIN(Settings!$B$4-1,IF($AH192&lt;&gt;"",MIN($AH192,Settings!$B$3),Settings!$B$3)))-YEAR($R192))*12+MONTH(MIN(Settings!$B$4-1,IF($AH192&lt;&gt;"",MIN($AH192,Settings!$B$3),Settings!$B$3)))-MONTH($R192)+1))</f>
        <v/>
      </c>
      <c r="AL192" s="23">
        <f>IF(OR($S192="",$R192=""),"",ROUND(MAX(0,IF($W192="Straight-line",IF(N($V192)&lt;=0,0,($S192-N($U192))*MIN($AK192,$V192)/$V192),IF($W192="Reducing balance",MIN(($S192-N($U192)),$S192-$S192*(1-N($AG192))^INT($AK192/12)*(1-N($AG192)*MOD($AK192,12)/12)),IF($W192="DDB",IF(N($V192)&lt;=0,0,MIN(($S192-N($U192)),$S192-$S192*(1-MIN(1,24/$V192))^INT($AK192/12)*(1-MIN(1,24/$V192)*MOD($AK192,12)/12))),IF($W192="SYD",IF(N($V192)&lt;=0,0,($S192-N($U192))*(INT(MIN($AK192,$V192)/12)*(2*($V192/12)-INT(MIN($AK192,$V192)/12)+1)/2+MOD(MIN($AK192,$V192),12)/12*(($V192/12)-INT(MIN($AK192,$V192)/12)))/(($V192/12)*(($V192/12)+1)/2)),0))))),2))</f>
        <v/>
      </c>
      <c r="AM192" s="23">
        <f>IF($X192="","",$X192-$AL192)</f>
        <v/>
      </c>
      <c r="AN192" s="23">
        <f>IF(OR($AH192="",$Y192=""),"",N($AI192)-$Y192)</f>
        <v/>
      </c>
    </row>
    <row r="193">
      <c r="Q193" s="20" t="n"/>
      <c r="R193" s="20" t="n"/>
      <c r="S193" s="21" t="n"/>
      <c r="U193" s="21" t="n"/>
      <c r="V193" s="22" t="n"/>
      <c r="X193" s="23">
        <f>IF(OR($S193="",$R193=""),"",ROUND(MAX(0,IF($W193="Straight-line",IF(N($V193)&lt;=0,0,($S193-N($U193))*MIN($AJ193,$V193)/$V193),IF($W193="Reducing balance",MIN(($S193-N($U193)),$S193-$S193*(1-N($AG193))^INT($AJ193/12)*(1-N($AG193)*MOD($AJ193,12)/12)),IF($W193="DDB",IF(N($V193)&lt;=0,0,MIN(($S193-N($U193)),$S193-$S193*(1-MIN(1,24/$V193))^INT($AJ193/12)*(1-MIN(1,24/$V193)*MOD($AJ193,12)/12))),IF($W193="SYD",IF(N($V193)&lt;=0,0,($S193-N($U193))*(INT(MIN($AJ193,$V193)/12)*(2*($V193/12)-INT(MIN($AJ193,$V193)/12)+1)/2+MOD(MIN($AJ193,$V193),12)/12*(($V193/12)-INT(MIN($AJ193,$V193)/12)))/(($V193/12)*(($V193/12)+1)/2)),0))))),2))</f>
        <v/>
      </c>
      <c r="Y193" s="23">
        <f>IF($X193="","",$S193-$X193)</f>
        <v/>
      </c>
      <c r="AD193" s="20" t="n"/>
      <c r="AG193" s="24" t="n"/>
      <c r="AH193" s="20" t="n"/>
      <c r="AI193" s="21" t="n"/>
      <c r="AJ193" s="25">
        <f>IF($R193="","",IF($R193&gt;IF($AH193&lt;&gt;"",MIN($AH193,Settings!$B$3),Settings!$B$3),0,(YEAR(IF($AH193&lt;&gt;"",MIN($AH193,Settings!$B$3),Settings!$B$3))-YEAR($R193))*12+MONTH(IF($AH193&lt;&gt;"",MIN($AH193,Settings!$B$3),Settings!$B$3))-MONTH($R193)+1))</f>
        <v/>
      </c>
      <c r="AK193" s="25">
        <f>IF($R193="","",IF($R193&gt;MIN(Settings!$B$4-1,IF($AH193&lt;&gt;"",MIN($AH193,Settings!$B$3),Settings!$B$3)),0,(YEAR(MIN(Settings!$B$4-1,IF($AH193&lt;&gt;"",MIN($AH193,Settings!$B$3),Settings!$B$3)))-YEAR($R193))*12+MONTH(MIN(Settings!$B$4-1,IF($AH193&lt;&gt;"",MIN($AH193,Settings!$B$3),Settings!$B$3)))-MONTH($R193)+1))</f>
        <v/>
      </c>
      <c r="AL193" s="23">
        <f>IF(OR($S193="",$R193=""),"",ROUND(MAX(0,IF($W193="Straight-line",IF(N($V193)&lt;=0,0,($S193-N($U193))*MIN($AK193,$V193)/$V193),IF($W193="Reducing balance",MIN(($S193-N($U193)),$S193-$S193*(1-N($AG193))^INT($AK193/12)*(1-N($AG193)*MOD($AK193,12)/12)),IF($W193="DDB",IF(N($V193)&lt;=0,0,MIN(($S193-N($U193)),$S193-$S193*(1-MIN(1,24/$V193))^INT($AK193/12)*(1-MIN(1,24/$V193)*MOD($AK193,12)/12))),IF($W193="SYD",IF(N($V193)&lt;=0,0,($S193-N($U193))*(INT(MIN($AK193,$V193)/12)*(2*($V193/12)-INT(MIN($AK193,$V193)/12)+1)/2+MOD(MIN($AK193,$V193),12)/12*(($V193/12)-INT(MIN($AK193,$V193)/12)))/(($V193/12)*(($V193/12)+1)/2)),0))))),2))</f>
        <v/>
      </c>
      <c r="AM193" s="23">
        <f>IF($X193="","",$X193-$AL193)</f>
        <v/>
      </c>
      <c r="AN193" s="23">
        <f>IF(OR($AH193="",$Y193=""),"",N($AI193)-$Y193)</f>
        <v/>
      </c>
    </row>
    <row r="194">
      <c r="Q194" s="20" t="n"/>
      <c r="R194" s="20" t="n"/>
      <c r="S194" s="21" t="n"/>
      <c r="U194" s="21" t="n"/>
      <c r="V194" s="22" t="n"/>
      <c r="X194" s="23">
        <f>IF(OR($S194="",$R194=""),"",ROUND(MAX(0,IF($W194="Straight-line",IF(N($V194)&lt;=0,0,($S194-N($U194))*MIN($AJ194,$V194)/$V194),IF($W194="Reducing balance",MIN(($S194-N($U194)),$S194-$S194*(1-N($AG194))^INT($AJ194/12)*(1-N($AG194)*MOD($AJ194,12)/12)),IF($W194="DDB",IF(N($V194)&lt;=0,0,MIN(($S194-N($U194)),$S194-$S194*(1-MIN(1,24/$V194))^INT($AJ194/12)*(1-MIN(1,24/$V194)*MOD($AJ194,12)/12))),IF($W194="SYD",IF(N($V194)&lt;=0,0,($S194-N($U194))*(INT(MIN($AJ194,$V194)/12)*(2*($V194/12)-INT(MIN($AJ194,$V194)/12)+1)/2+MOD(MIN($AJ194,$V194),12)/12*(($V194/12)-INT(MIN($AJ194,$V194)/12)))/(($V194/12)*(($V194/12)+1)/2)),0))))),2))</f>
        <v/>
      </c>
      <c r="Y194" s="23">
        <f>IF($X194="","",$S194-$X194)</f>
        <v/>
      </c>
      <c r="AD194" s="20" t="n"/>
      <c r="AG194" s="24" t="n"/>
      <c r="AH194" s="20" t="n"/>
      <c r="AI194" s="21" t="n"/>
      <c r="AJ194" s="25">
        <f>IF($R194="","",IF($R194&gt;IF($AH194&lt;&gt;"",MIN($AH194,Settings!$B$3),Settings!$B$3),0,(YEAR(IF($AH194&lt;&gt;"",MIN($AH194,Settings!$B$3),Settings!$B$3))-YEAR($R194))*12+MONTH(IF($AH194&lt;&gt;"",MIN($AH194,Settings!$B$3),Settings!$B$3))-MONTH($R194)+1))</f>
        <v/>
      </c>
      <c r="AK194" s="25">
        <f>IF($R194="","",IF($R194&gt;MIN(Settings!$B$4-1,IF($AH194&lt;&gt;"",MIN($AH194,Settings!$B$3),Settings!$B$3)),0,(YEAR(MIN(Settings!$B$4-1,IF($AH194&lt;&gt;"",MIN($AH194,Settings!$B$3),Settings!$B$3)))-YEAR($R194))*12+MONTH(MIN(Settings!$B$4-1,IF($AH194&lt;&gt;"",MIN($AH194,Settings!$B$3),Settings!$B$3)))-MONTH($R194)+1))</f>
        <v/>
      </c>
      <c r="AL194" s="23">
        <f>IF(OR($S194="",$R194=""),"",ROUND(MAX(0,IF($W194="Straight-line",IF(N($V194)&lt;=0,0,($S194-N($U194))*MIN($AK194,$V194)/$V194),IF($W194="Reducing balance",MIN(($S194-N($U194)),$S194-$S194*(1-N($AG194))^INT($AK194/12)*(1-N($AG194)*MOD($AK194,12)/12)),IF($W194="DDB",IF(N($V194)&lt;=0,0,MIN(($S194-N($U194)),$S194-$S194*(1-MIN(1,24/$V194))^INT($AK194/12)*(1-MIN(1,24/$V194)*MOD($AK194,12)/12))),IF($W194="SYD",IF(N($V194)&lt;=0,0,($S194-N($U194))*(INT(MIN($AK194,$V194)/12)*(2*($V194/12)-INT(MIN($AK194,$V194)/12)+1)/2+MOD(MIN($AK194,$V194),12)/12*(($V194/12)-INT(MIN($AK194,$V194)/12)))/(($V194/12)*(($V194/12)+1)/2)),0))))),2))</f>
        <v/>
      </c>
      <c r="AM194" s="23">
        <f>IF($X194="","",$X194-$AL194)</f>
        <v/>
      </c>
      <c r="AN194" s="23">
        <f>IF(OR($AH194="",$Y194=""),"",N($AI194)-$Y194)</f>
        <v/>
      </c>
    </row>
    <row r="195">
      <c r="Q195" s="20" t="n"/>
      <c r="R195" s="20" t="n"/>
      <c r="S195" s="21" t="n"/>
      <c r="U195" s="21" t="n"/>
      <c r="V195" s="22" t="n"/>
      <c r="X195" s="23">
        <f>IF(OR($S195="",$R195=""),"",ROUND(MAX(0,IF($W195="Straight-line",IF(N($V195)&lt;=0,0,($S195-N($U195))*MIN($AJ195,$V195)/$V195),IF($W195="Reducing balance",MIN(($S195-N($U195)),$S195-$S195*(1-N($AG195))^INT($AJ195/12)*(1-N($AG195)*MOD($AJ195,12)/12)),IF($W195="DDB",IF(N($V195)&lt;=0,0,MIN(($S195-N($U195)),$S195-$S195*(1-MIN(1,24/$V195))^INT($AJ195/12)*(1-MIN(1,24/$V195)*MOD($AJ195,12)/12))),IF($W195="SYD",IF(N($V195)&lt;=0,0,($S195-N($U195))*(INT(MIN($AJ195,$V195)/12)*(2*($V195/12)-INT(MIN($AJ195,$V195)/12)+1)/2+MOD(MIN($AJ195,$V195),12)/12*(($V195/12)-INT(MIN($AJ195,$V195)/12)))/(($V195/12)*(($V195/12)+1)/2)),0))))),2))</f>
        <v/>
      </c>
      <c r="Y195" s="23">
        <f>IF($X195="","",$S195-$X195)</f>
        <v/>
      </c>
      <c r="AD195" s="20" t="n"/>
      <c r="AG195" s="24" t="n"/>
      <c r="AH195" s="20" t="n"/>
      <c r="AI195" s="21" t="n"/>
      <c r="AJ195" s="25">
        <f>IF($R195="","",IF($R195&gt;IF($AH195&lt;&gt;"",MIN($AH195,Settings!$B$3),Settings!$B$3),0,(YEAR(IF($AH195&lt;&gt;"",MIN($AH195,Settings!$B$3),Settings!$B$3))-YEAR($R195))*12+MONTH(IF($AH195&lt;&gt;"",MIN($AH195,Settings!$B$3),Settings!$B$3))-MONTH($R195)+1))</f>
        <v/>
      </c>
      <c r="AK195" s="25">
        <f>IF($R195="","",IF($R195&gt;MIN(Settings!$B$4-1,IF($AH195&lt;&gt;"",MIN($AH195,Settings!$B$3),Settings!$B$3)),0,(YEAR(MIN(Settings!$B$4-1,IF($AH195&lt;&gt;"",MIN($AH195,Settings!$B$3),Settings!$B$3)))-YEAR($R195))*12+MONTH(MIN(Settings!$B$4-1,IF($AH195&lt;&gt;"",MIN($AH195,Settings!$B$3),Settings!$B$3)))-MONTH($R195)+1))</f>
        <v/>
      </c>
      <c r="AL195" s="23">
        <f>IF(OR($S195="",$R195=""),"",ROUND(MAX(0,IF($W195="Straight-line",IF(N($V195)&lt;=0,0,($S195-N($U195))*MIN($AK195,$V195)/$V195),IF($W195="Reducing balance",MIN(($S195-N($U195)),$S195-$S195*(1-N($AG195))^INT($AK195/12)*(1-N($AG195)*MOD($AK195,12)/12)),IF($W195="DDB",IF(N($V195)&lt;=0,0,MIN(($S195-N($U195)),$S195-$S195*(1-MIN(1,24/$V195))^INT($AK195/12)*(1-MIN(1,24/$V195)*MOD($AK195,12)/12))),IF($W195="SYD",IF(N($V195)&lt;=0,0,($S195-N($U195))*(INT(MIN($AK195,$V195)/12)*(2*($V195/12)-INT(MIN($AK195,$V195)/12)+1)/2+MOD(MIN($AK195,$V195),12)/12*(($V195/12)-INT(MIN($AK195,$V195)/12)))/(($V195/12)*(($V195/12)+1)/2)),0))))),2))</f>
        <v/>
      </c>
      <c r="AM195" s="23">
        <f>IF($X195="","",$X195-$AL195)</f>
        <v/>
      </c>
      <c r="AN195" s="23">
        <f>IF(OR($AH195="",$Y195=""),"",N($AI195)-$Y195)</f>
        <v/>
      </c>
    </row>
    <row r="196">
      <c r="Q196" s="20" t="n"/>
      <c r="R196" s="20" t="n"/>
      <c r="S196" s="21" t="n"/>
      <c r="U196" s="21" t="n"/>
      <c r="V196" s="22" t="n"/>
      <c r="X196" s="23">
        <f>IF(OR($S196="",$R196=""),"",ROUND(MAX(0,IF($W196="Straight-line",IF(N($V196)&lt;=0,0,($S196-N($U196))*MIN($AJ196,$V196)/$V196),IF($W196="Reducing balance",MIN(($S196-N($U196)),$S196-$S196*(1-N($AG196))^INT($AJ196/12)*(1-N($AG196)*MOD($AJ196,12)/12)),IF($W196="DDB",IF(N($V196)&lt;=0,0,MIN(($S196-N($U196)),$S196-$S196*(1-MIN(1,24/$V196))^INT($AJ196/12)*(1-MIN(1,24/$V196)*MOD($AJ196,12)/12))),IF($W196="SYD",IF(N($V196)&lt;=0,0,($S196-N($U196))*(INT(MIN($AJ196,$V196)/12)*(2*($V196/12)-INT(MIN($AJ196,$V196)/12)+1)/2+MOD(MIN($AJ196,$V196),12)/12*(($V196/12)-INT(MIN($AJ196,$V196)/12)))/(($V196/12)*(($V196/12)+1)/2)),0))))),2))</f>
        <v/>
      </c>
      <c r="Y196" s="23">
        <f>IF($X196="","",$S196-$X196)</f>
        <v/>
      </c>
      <c r="AD196" s="20" t="n"/>
      <c r="AG196" s="24" t="n"/>
      <c r="AH196" s="20" t="n"/>
      <c r="AI196" s="21" t="n"/>
      <c r="AJ196" s="25">
        <f>IF($R196="","",IF($R196&gt;IF($AH196&lt;&gt;"",MIN($AH196,Settings!$B$3),Settings!$B$3),0,(YEAR(IF($AH196&lt;&gt;"",MIN($AH196,Settings!$B$3),Settings!$B$3))-YEAR($R196))*12+MONTH(IF($AH196&lt;&gt;"",MIN($AH196,Settings!$B$3),Settings!$B$3))-MONTH($R196)+1))</f>
        <v/>
      </c>
      <c r="AK196" s="25">
        <f>IF($R196="","",IF($R196&gt;MIN(Settings!$B$4-1,IF($AH196&lt;&gt;"",MIN($AH196,Settings!$B$3),Settings!$B$3)),0,(YEAR(MIN(Settings!$B$4-1,IF($AH196&lt;&gt;"",MIN($AH196,Settings!$B$3),Settings!$B$3)))-YEAR($R196))*12+MONTH(MIN(Settings!$B$4-1,IF($AH196&lt;&gt;"",MIN($AH196,Settings!$B$3),Settings!$B$3)))-MONTH($R196)+1))</f>
        <v/>
      </c>
      <c r="AL196" s="23">
        <f>IF(OR($S196="",$R196=""),"",ROUND(MAX(0,IF($W196="Straight-line",IF(N($V196)&lt;=0,0,($S196-N($U196))*MIN($AK196,$V196)/$V196),IF($W196="Reducing balance",MIN(($S196-N($U196)),$S196-$S196*(1-N($AG196))^INT($AK196/12)*(1-N($AG196)*MOD($AK196,12)/12)),IF($W196="DDB",IF(N($V196)&lt;=0,0,MIN(($S196-N($U196)),$S196-$S196*(1-MIN(1,24/$V196))^INT($AK196/12)*(1-MIN(1,24/$V196)*MOD($AK196,12)/12))),IF($W196="SYD",IF(N($V196)&lt;=0,0,($S196-N($U196))*(INT(MIN($AK196,$V196)/12)*(2*($V196/12)-INT(MIN($AK196,$V196)/12)+1)/2+MOD(MIN($AK196,$V196),12)/12*(($V196/12)-INT(MIN($AK196,$V196)/12)))/(($V196/12)*(($V196/12)+1)/2)),0))))),2))</f>
        <v/>
      </c>
      <c r="AM196" s="23">
        <f>IF($X196="","",$X196-$AL196)</f>
        <v/>
      </c>
      <c r="AN196" s="23">
        <f>IF(OR($AH196="",$Y196=""),"",N($AI196)-$Y196)</f>
        <v/>
      </c>
    </row>
    <row r="197">
      <c r="Q197" s="20" t="n"/>
      <c r="R197" s="20" t="n"/>
      <c r="S197" s="21" t="n"/>
      <c r="U197" s="21" t="n"/>
      <c r="V197" s="22" t="n"/>
      <c r="X197" s="23">
        <f>IF(OR($S197="",$R197=""),"",ROUND(MAX(0,IF($W197="Straight-line",IF(N($V197)&lt;=0,0,($S197-N($U197))*MIN($AJ197,$V197)/$V197),IF($W197="Reducing balance",MIN(($S197-N($U197)),$S197-$S197*(1-N($AG197))^INT($AJ197/12)*(1-N($AG197)*MOD($AJ197,12)/12)),IF($W197="DDB",IF(N($V197)&lt;=0,0,MIN(($S197-N($U197)),$S197-$S197*(1-MIN(1,24/$V197))^INT($AJ197/12)*(1-MIN(1,24/$V197)*MOD($AJ197,12)/12))),IF($W197="SYD",IF(N($V197)&lt;=0,0,($S197-N($U197))*(INT(MIN($AJ197,$V197)/12)*(2*($V197/12)-INT(MIN($AJ197,$V197)/12)+1)/2+MOD(MIN($AJ197,$V197),12)/12*(($V197/12)-INT(MIN($AJ197,$V197)/12)))/(($V197/12)*(($V197/12)+1)/2)),0))))),2))</f>
        <v/>
      </c>
      <c r="Y197" s="23">
        <f>IF($X197="","",$S197-$X197)</f>
        <v/>
      </c>
      <c r="AD197" s="20" t="n"/>
      <c r="AG197" s="24" t="n"/>
      <c r="AH197" s="20" t="n"/>
      <c r="AI197" s="21" t="n"/>
      <c r="AJ197" s="25">
        <f>IF($R197="","",IF($R197&gt;IF($AH197&lt;&gt;"",MIN($AH197,Settings!$B$3),Settings!$B$3),0,(YEAR(IF($AH197&lt;&gt;"",MIN($AH197,Settings!$B$3),Settings!$B$3))-YEAR($R197))*12+MONTH(IF($AH197&lt;&gt;"",MIN($AH197,Settings!$B$3),Settings!$B$3))-MONTH($R197)+1))</f>
        <v/>
      </c>
      <c r="AK197" s="25">
        <f>IF($R197="","",IF($R197&gt;MIN(Settings!$B$4-1,IF($AH197&lt;&gt;"",MIN($AH197,Settings!$B$3),Settings!$B$3)),0,(YEAR(MIN(Settings!$B$4-1,IF($AH197&lt;&gt;"",MIN($AH197,Settings!$B$3),Settings!$B$3)))-YEAR($R197))*12+MONTH(MIN(Settings!$B$4-1,IF($AH197&lt;&gt;"",MIN($AH197,Settings!$B$3),Settings!$B$3)))-MONTH($R197)+1))</f>
        <v/>
      </c>
      <c r="AL197" s="23">
        <f>IF(OR($S197="",$R197=""),"",ROUND(MAX(0,IF($W197="Straight-line",IF(N($V197)&lt;=0,0,($S197-N($U197))*MIN($AK197,$V197)/$V197),IF($W197="Reducing balance",MIN(($S197-N($U197)),$S197-$S197*(1-N($AG197))^INT($AK197/12)*(1-N($AG197)*MOD($AK197,12)/12)),IF($W197="DDB",IF(N($V197)&lt;=0,0,MIN(($S197-N($U197)),$S197-$S197*(1-MIN(1,24/$V197))^INT($AK197/12)*(1-MIN(1,24/$V197)*MOD($AK197,12)/12))),IF($W197="SYD",IF(N($V197)&lt;=0,0,($S197-N($U197))*(INT(MIN($AK197,$V197)/12)*(2*($V197/12)-INT(MIN($AK197,$V197)/12)+1)/2+MOD(MIN($AK197,$V197),12)/12*(($V197/12)-INT(MIN($AK197,$V197)/12)))/(($V197/12)*(($V197/12)+1)/2)),0))))),2))</f>
        <v/>
      </c>
      <c r="AM197" s="23">
        <f>IF($X197="","",$X197-$AL197)</f>
        <v/>
      </c>
      <c r="AN197" s="23">
        <f>IF(OR($AH197="",$Y197=""),"",N($AI197)-$Y197)</f>
        <v/>
      </c>
    </row>
    <row r="198">
      <c r="Q198" s="20" t="n"/>
      <c r="R198" s="20" t="n"/>
      <c r="S198" s="21" t="n"/>
      <c r="U198" s="21" t="n"/>
      <c r="V198" s="22" t="n"/>
      <c r="X198" s="23">
        <f>IF(OR($S198="",$R198=""),"",ROUND(MAX(0,IF($W198="Straight-line",IF(N($V198)&lt;=0,0,($S198-N($U198))*MIN($AJ198,$V198)/$V198),IF($W198="Reducing balance",MIN(($S198-N($U198)),$S198-$S198*(1-N($AG198))^INT($AJ198/12)*(1-N($AG198)*MOD($AJ198,12)/12)),IF($W198="DDB",IF(N($V198)&lt;=0,0,MIN(($S198-N($U198)),$S198-$S198*(1-MIN(1,24/$V198))^INT($AJ198/12)*(1-MIN(1,24/$V198)*MOD($AJ198,12)/12))),IF($W198="SYD",IF(N($V198)&lt;=0,0,($S198-N($U198))*(INT(MIN($AJ198,$V198)/12)*(2*($V198/12)-INT(MIN($AJ198,$V198)/12)+1)/2+MOD(MIN($AJ198,$V198),12)/12*(($V198/12)-INT(MIN($AJ198,$V198)/12)))/(($V198/12)*(($V198/12)+1)/2)),0))))),2))</f>
        <v/>
      </c>
      <c r="Y198" s="23">
        <f>IF($X198="","",$S198-$X198)</f>
        <v/>
      </c>
      <c r="AD198" s="20" t="n"/>
      <c r="AG198" s="24" t="n"/>
      <c r="AH198" s="20" t="n"/>
      <c r="AI198" s="21" t="n"/>
      <c r="AJ198" s="25">
        <f>IF($R198="","",IF($R198&gt;IF($AH198&lt;&gt;"",MIN($AH198,Settings!$B$3),Settings!$B$3),0,(YEAR(IF($AH198&lt;&gt;"",MIN($AH198,Settings!$B$3),Settings!$B$3))-YEAR($R198))*12+MONTH(IF($AH198&lt;&gt;"",MIN($AH198,Settings!$B$3),Settings!$B$3))-MONTH($R198)+1))</f>
        <v/>
      </c>
      <c r="AK198" s="25">
        <f>IF($R198="","",IF($R198&gt;MIN(Settings!$B$4-1,IF($AH198&lt;&gt;"",MIN($AH198,Settings!$B$3),Settings!$B$3)),0,(YEAR(MIN(Settings!$B$4-1,IF($AH198&lt;&gt;"",MIN($AH198,Settings!$B$3),Settings!$B$3)))-YEAR($R198))*12+MONTH(MIN(Settings!$B$4-1,IF($AH198&lt;&gt;"",MIN($AH198,Settings!$B$3),Settings!$B$3)))-MONTH($R198)+1))</f>
        <v/>
      </c>
      <c r="AL198" s="23">
        <f>IF(OR($S198="",$R198=""),"",ROUND(MAX(0,IF($W198="Straight-line",IF(N($V198)&lt;=0,0,($S198-N($U198))*MIN($AK198,$V198)/$V198),IF($W198="Reducing balance",MIN(($S198-N($U198)),$S198-$S198*(1-N($AG198))^INT($AK198/12)*(1-N($AG198)*MOD($AK198,12)/12)),IF($W198="DDB",IF(N($V198)&lt;=0,0,MIN(($S198-N($U198)),$S198-$S198*(1-MIN(1,24/$V198))^INT($AK198/12)*(1-MIN(1,24/$V198)*MOD($AK198,12)/12))),IF($W198="SYD",IF(N($V198)&lt;=0,0,($S198-N($U198))*(INT(MIN($AK198,$V198)/12)*(2*($V198/12)-INT(MIN($AK198,$V198)/12)+1)/2+MOD(MIN($AK198,$V198),12)/12*(($V198/12)-INT(MIN($AK198,$V198)/12)))/(($V198/12)*(($V198/12)+1)/2)),0))))),2))</f>
        <v/>
      </c>
      <c r="AM198" s="23">
        <f>IF($X198="","",$X198-$AL198)</f>
        <v/>
      </c>
      <c r="AN198" s="23">
        <f>IF(OR($AH198="",$Y198=""),"",N($AI198)-$Y198)</f>
        <v/>
      </c>
    </row>
    <row r="199">
      <c r="Q199" s="20" t="n"/>
      <c r="R199" s="20" t="n"/>
      <c r="S199" s="21" t="n"/>
      <c r="U199" s="21" t="n"/>
      <c r="V199" s="22" t="n"/>
      <c r="X199" s="23">
        <f>IF(OR($S199="",$R199=""),"",ROUND(MAX(0,IF($W199="Straight-line",IF(N($V199)&lt;=0,0,($S199-N($U199))*MIN($AJ199,$V199)/$V199),IF($W199="Reducing balance",MIN(($S199-N($U199)),$S199-$S199*(1-N($AG199))^INT($AJ199/12)*(1-N($AG199)*MOD($AJ199,12)/12)),IF($W199="DDB",IF(N($V199)&lt;=0,0,MIN(($S199-N($U199)),$S199-$S199*(1-MIN(1,24/$V199))^INT($AJ199/12)*(1-MIN(1,24/$V199)*MOD($AJ199,12)/12))),IF($W199="SYD",IF(N($V199)&lt;=0,0,($S199-N($U199))*(INT(MIN($AJ199,$V199)/12)*(2*($V199/12)-INT(MIN($AJ199,$V199)/12)+1)/2+MOD(MIN($AJ199,$V199),12)/12*(($V199/12)-INT(MIN($AJ199,$V199)/12)))/(($V199/12)*(($V199/12)+1)/2)),0))))),2))</f>
        <v/>
      </c>
      <c r="Y199" s="23">
        <f>IF($X199="","",$S199-$X199)</f>
        <v/>
      </c>
      <c r="AD199" s="20" t="n"/>
      <c r="AG199" s="24" t="n"/>
      <c r="AH199" s="20" t="n"/>
      <c r="AI199" s="21" t="n"/>
      <c r="AJ199" s="25">
        <f>IF($R199="","",IF($R199&gt;IF($AH199&lt;&gt;"",MIN($AH199,Settings!$B$3),Settings!$B$3),0,(YEAR(IF($AH199&lt;&gt;"",MIN($AH199,Settings!$B$3),Settings!$B$3))-YEAR($R199))*12+MONTH(IF($AH199&lt;&gt;"",MIN($AH199,Settings!$B$3),Settings!$B$3))-MONTH($R199)+1))</f>
        <v/>
      </c>
      <c r="AK199" s="25">
        <f>IF($R199="","",IF($R199&gt;MIN(Settings!$B$4-1,IF($AH199&lt;&gt;"",MIN($AH199,Settings!$B$3),Settings!$B$3)),0,(YEAR(MIN(Settings!$B$4-1,IF($AH199&lt;&gt;"",MIN($AH199,Settings!$B$3),Settings!$B$3)))-YEAR($R199))*12+MONTH(MIN(Settings!$B$4-1,IF($AH199&lt;&gt;"",MIN($AH199,Settings!$B$3),Settings!$B$3)))-MONTH($R199)+1))</f>
        <v/>
      </c>
      <c r="AL199" s="23">
        <f>IF(OR($S199="",$R199=""),"",ROUND(MAX(0,IF($W199="Straight-line",IF(N($V199)&lt;=0,0,($S199-N($U199))*MIN($AK199,$V199)/$V199),IF($W199="Reducing balance",MIN(($S199-N($U199)),$S199-$S199*(1-N($AG199))^INT($AK199/12)*(1-N($AG199)*MOD($AK199,12)/12)),IF($W199="DDB",IF(N($V199)&lt;=0,0,MIN(($S199-N($U199)),$S199-$S199*(1-MIN(1,24/$V199))^INT($AK199/12)*(1-MIN(1,24/$V199)*MOD($AK199,12)/12))),IF($W199="SYD",IF(N($V199)&lt;=0,0,($S199-N($U199))*(INT(MIN($AK199,$V199)/12)*(2*($V199/12)-INT(MIN($AK199,$V199)/12)+1)/2+MOD(MIN($AK199,$V199),12)/12*(($V199/12)-INT(MIN($AK199,$V199)/12)))/(($V199/12)*(($V199/12)+1)/2)),0))))),2))</f>
        <v/>
      </c>
      <c r="AM199" s="23">
        <f>IF($X199="","",$X199-$AL199)</f>
        <v/>
      </c>
      <c r="AN199" s="23">
        <f>IF(OR($AH199="",$Y199=""),"",N($AI199)-$Y199)</f>
        <v/>
      </c>
    </row>
    <row r="200">
      <c r="Q200" s="20" t="n"/>
      <c r="R200" s="20" t="n"/>
      <c r="S200" s="21" t="n"/>
      <c r="U200" s="21" t="n"/>
      <c r="V200" s="22" t="n"/>
      <c r="X200" s="23">
        <f>IF(OR($S200="",$R200=""),"",ROUND(MAX(0,IF($W200="Straight-line",IF(N($V200)&lt;=0,0,($S200-N($U200))*MIN($AJ200,$V200)/$V200),IF($W200="Reducing balance",MIN(($S200-N($U200)),$S200-$S200*(1-N($AG200))^INT($AJ200/12)*(1-N($AG200)*MOD($AJ200,12)/12)),IF($W200="DDB",IF(N($V200)&lt;=0,0,MIN(($S200-N($U200)),$S200-$S200*(1-MIN(1,24/$V200))^INT($AJ200/12)*(1-MIN(1,24/$V200)*MOD($AJ200,12)/12))),IF($W200="SYD",IF(N($V200)&lt;=0,0,($S200-N($U200))*(INT(MIN($AJ200,$V200)/12)*(2*($V200/12)-INT(MIN($AJ200,$V200)/12)+1)/2+MOD(MIN($AJ200,$V200),12)/12*(($V200/12)-INT(MIN($AJ200,$V200)/12)))/(($V200/12)*(($V200/12)+1)/2)),0))))),2))</f>
        <v/>
      </c>
      <c r="Y200" s="23">
        <f>IF($X200="","",$S200-$X200)</f>
        <v/>
      </c>
      <c r="AD200" s="20" t="n"/>
      <c r="AG200" s="24" t="n"/>
      <c r="AH200" s="20" t="n"/>
      <c r="AI200" s="21" t="n"/>
      <c r="AJ200" s="25">
        <f>IF($R200="","",IF($R200&gt;IF($AH200&lt;&gt;"",MIN($AH200,Settings!$B$3),Settings!$B$3),0,(YEAR(IF($AH200&lt;&gt;"",MIN($AH200,Settings!$B$3),Settings!$B$3))-YEAR($R200))*12+MONTH(IF($AH200&lt;&gt;"",MIN($AH200,Settings!$B$3),Settings!$B$3))-MONTH($R200)+1))</f>
        <v/>
      </c>
      <c r="AK200" s="25">
        <f>IF($R200="","",IF($R200&gt;MIN(Settings!$B$4-1,IF($AH200&lt;&gt;"",MIN($AH200,Settings!$B$3),Settings!$B$3)),0,(YEAR(MIN(Settings!$B$4-1,IF($AH200&lt;&gt;"",MIN($AH200,Settings!$B$3),Settings!$B$3)))-YEAR($R200))*12+MONTH(MIN(Settings!$B$4-1,IF($AH200&lt;&gt;"",MIN($AH200,Settings!$B$3),Settings!$B$3)))-MONTH($R200)+1))</f>
        <v/>
      </c>
      <c r="AL200" s="23">
        <f>IF(OR($S200="",$R200=""),"",ROUND(MAX(0,IF($W200="Straight-line",IF(N($V200)&lt;=0,0,($S200-N($U200))*MIN($AK200,$V200)/$V200),IF($W200="Reducing balance",MIN(($S200-N($U200)),$S200-$S200*(1-N($AG200))^INT($AK200/12)*(1-N($AG200)*MOD($AK200,12)/12)),IF($W200="DDB",IF(N($V200)&lt;=0,0,MIN(($S200-N($U200)),$S200-$S200*(1-MIN(1,24/$V200))^INT($AK200/12)*(1-MIN(1,24/$V200)*MOD($AK200,12)/12))),IF($W200="SYD",IF(N($V200)&lt;=0,0,($S200-N($U200))*(INT(MIN($AK200,$V200)/12)*(2*($V200/12)-INT(MIN($AK200,$V200)/12)+1)/2+MOD(MIN($AK200,$V200),12)/12*(($V200/12)-INT(MIN($AK200,$V200)/12)))/(($V200/12)*(($V200/12)+1)/2)),0))))),2))</f>
        <v/>
      </c>
      <c r="AM200" s="23">
        <f>IF($X200="","",$X200-$AL200)</f>
        <v/>
      </c>
      <c r="AN200" s="23">
        <f>IF(OR($AH200="",$Y200=""),"",N($AI200)-$Y200)</f>
        <v/>
      </c>
    </row>
    <row r="201">
      <c r="Q201" s="20" t="n"/>
      <c r="R201" s="20" t="n"/>
      <c r="S201" s="21" t="n"/>
      <c r="U201" s="21" t="n"/>
      <c r="V201" s="22" t="n"/>
      <c r="X201" s="23">
        <f>IF(OR($S201="",$R201=""),"",ROUND(MAX(0,IF($W201="Straight-line",IF(N($V201)&lt;=0,0,($S201-N($U201))*MIN($AJ201,$V201)/$V201),IF($W201="Reducing balance",MIN(($S201-N($U201)),$S201-$S201*(1-N($AG201))^INT($AJ201/12)*(1-N($AG201)*MOD($AJ201,12)/12)),IF($W201="DDB",IF(N($V201)&lt;=0,0,MIN(($S201-N($U201)),$S201-$S201*(1-MIN(1,24/$V201))^INT($AJ201/12)*(1-MIN(1,24/$V201)*MOD($AJ201,12)/12))),IF($W201="SYD",IF(N($V201)&lt;=0,0,($S201-N($U201))*(INT(MIN($AJ201,$V201)/12)*(2*($V201/12)-INT(MIN($AJ201,$V201)/12)+1)/2+MOD(MIN($AJ201,$V201),12)/12*(($V201/12)-INT(MIN($AJ201,$V201)/12)))/(($V201/12)*(($V201/12)+1)/2)),0))))),2))</f>
        <v/>
      </c>
      <c r="Y201" s="23">
        <f>IF($X201="","",$S201-$X201)</f>
        <v/>
      </c>
      <c r="AD201" s="20" t="n"/>
      <c r="AG201" s="24" t="n"/>
      <c r="AH201" s="20" t="n"/>
      <c r="AI201" s="21" t="n"/>
      <c r="AJ201" s="25">
        <f>IF($R201="","",IF($R201&gt;IF($AH201&lt;&gt;"",MIN($AH201,Settings!$B$3),Settings!$B$3),0,(YEAR(IF($AH201&lt;&gt;"",MIN($AH201,Settings!$B$3),Settings!$B$3))-YEAR($R201))*12+MONTH(IF($AH201&lt;&gt;"",MIN($AH201,Settings!$B$3),Settings!$B$3))-MONTH($R201)+1))</f>
        <v/>
      </c>
      <c r="AK201" s="25">
        <f>IF($R201="","",IF($R201&gt;MIN(Settings!$B$4-1,IF($AH201&lt;&gt;"",MIN($AH201,Settings!$B$3),Settings!$B$3)),0,(YEAR(MIN(Settings!$B$4-1,IF($AH201&lt;&gt;"",MIN($AH201,Settings!$B$3),Settings!$B$3)))-YEAR($R201))*12+MONTH(MIN(Settings!$B$4-1,IF($AH201&lt;&gt;"",MIN($AH201,Settings!$B$3),Settings!$B$3)))-MONTH($R201)+1))</f>
        <v/>
      </c>
      <c r="AL201" s="23">
        <f>IF(OR($S201="",$R201=""),"",ROUND(MAX(0,IF($W201="Straight-line",IF(N($V201)&lt;=0,0,($S201-N($U201))*MIN($AK201,$V201)/$V201),IF($W201="Reducing balance",MIN(($S201-N($U201)),$S201-$S201*(1-N($AG201))^INT($AK201/12)*(1-N($AG201)*MOD($AK201,12)/12)),IF($W201="DDB",IF(N($V201)&lt;=0,0,MIN(($S201-N($U201)),$S201-$S201*(1-MIN(1,24/$V201))^INT($AK201/12)*(1-MIN(1,24/$V201)*MOD($AK201,12)/12))),IF($W201="SYD",IF(N($V201)&lt;=0,0,($S201-N($U201))*(INT(MIN($AK201,$V201)/12)*(2*($V201/12)-INT(MIN($AK201,$V201)/12)+1)/2+MOD(MIN($AK201,$V201),12)/12*(($V201/12)-INT(MIN($AK201,$V201)/12)))/(($V201/12)*(($V201/12)+1)/2)),0))))),2))</f>
        <v/>
      </c>
      <c r="AM201" s="23">
        <f>IF($X201="","",$X201-$AL201)</f>
        <v/>
      </c>
      <c r="AN201" s="23">
        <f>IF(OR($AH201="",$Y201=""),"",N($AI201)-$Y201)</f>
        <v/>
      </c>
    </row>
    <row r="202">
      <c r="Q202" s="20" t="n"/>
      <c r="R202" s="20" t="n"/>
      <c r="S202" s="21" t="n"/>
      <c r="U202" s="21" t="n"/>
      <c r="V202" s="22" t="n"/>
      <c r="X202" s="23">
        <f>IF(OR($S202="",$R202=""),"",ROUND(MAX(0,IF($W202="Straight-line",IF(N($V202)&lt;=0,0,($S202-N($U202))*MIN($AJ202,$V202)/$V202),IF($W202="Reducing balance",MIN(($S202-N($U202)),$S202-$S202*(1-N($AG202))^INT($AJ202/12)*(1-N($AG202)*MOD($AJ202,12)/12)),IF($W202="DDB",IF(N($V202)&lt;=0,0,MIN(($S202-N($U202)),$S202-$S202*(1-MIN(1,24/$V202))^INT($AJ202/12)*(1-MIN(1,24/$V202)*MOD($AJ202,12)/12))),IF($W202="SYD",IF(N($V202)&lt;=0,0,($S202-N($U202))*(INT(MIN($AJ202,$V202)/12)*(2*($V202/12)-INT(MIN($AJ202,$V202)/12)+1)/2+MOD(MIN($AJ202,$V202),12)/12*(($V202/12)-INT(MIN($AJ202,$V202)/12)))/(($V202/12)*(($V202/12)+1)/2)),0))))),2))</f>
        <v/>
      </c>
      <c r="Y202" s="23">
        <f>IF($X202="","",$S202-$X202)</f>
        <v/>
      </c>
      <c r="AD202" s="20" t="n"/>
      <c r="AG202" s="24" t="n"/>
      <c r="AH202" s="20" t="n"/>
      <c r="AI202" s="21" t="n"/>
      <c r="AJ202" s="25">
        <f>IF($R202="","",IF($R202&gt;IF($AH202&lt;&gt;"",MIN($AH202,Settings!$B$3),Settings!$B$3),0,(YEAR(IF($AH202&lt;&gt;"",MIN($AH202,Settings!$B$3),Settings!$B$3))-YEAR($R202))*12+MONTH(IF($AH202&lt;&gt;"",MIN($AH202,Settings!$B$3),Settings!$B$3))-MONTH($R202)+1))</f>
        <v/>
      </c>
      <c r="AK202" s="25">
        <f>IF($R202="","",IF($R202&gt;MIN(Settings!$B$4-1,IF($AH202&lt;&gt;"",MIN($AH202,Settings!$B$3),Settings!$B$3)),0,(YEAR(MIN(Settings!$B$4-1,IF($AH202&lt;&gt;"",MIN($AH202,Settings!$B$3),Settings!$B$3)))-YEAR($R202))*12+MONTH(MIN(Settings!$B$4-1,IF($AH202&lt;&gt;"",MIN($AH202,Settings!$B$3),Settings!$B$3)))-MONTH($R202)+1))</f>
        <v/>
      </c>
      <c r="AL202" s="23">
        <f>IF(OR($S202="",$R202=""),"",ROUND(MAX(0,IF($W202="Straight-line",IF(N($V202)&lt;=0,0,($S202-N($U202))*MIN($AK202,$V202)/$V202),IF($W202="Reducing balance",MIN(($S202-N($U202)),$S202-$S202*(1-N($AG202))^INT($AK202/12)*(1-N($AG202)*MOD($AK202,12)/12)),IF($W202="DDB",IF(N($V202)&lt;=0,0,MIN(($S202-N($U202)),$S202-$S202*(1-MIN(1,24/$V202))^INT($AK202/12)*(1-MIN(1,24/$V202)*MOD($AK202,12)/12))),IF($W202="SYD",IF(N($V202)&lt;=0,0,($S202-N($U202))*(INT(MIN($AK202,$V202)/12)*(2*($V202/12)-INT(MIN($AK202,$V202)/12)+1)/2+MOD(MIN($AK202,$V202),12)/12*(($V202/12)-INT(MIN($AK202,$V202)/12)))/(($V202/12)*(($V202/12)+1)/2)),0))))),2))</f>
        <v/>
      </c>
      <c r="AM202" s="23">
        <f>IF($X202="","",$X202-$AL202)</f>
        <v/>
      </c>
      <c r="AN202" s="23">
        <f>IF(OR($AH202="",$Y202=""),"",N($AI202)-$Y202)</f>
        <v/>
      </c>
    </row>
    <row r="203">
      <c r="Q203" s="20" t="n"/>
      <c r="R203" s="20" t="n"/>
      <c r="S203" s="21" t="n"/>
      <c r="U203" s="21" t="n"/>
      <c r="V203" s="22" t="n"/>
      <c r="X203" s="23">
        <f>IF(OR($S203="",$R203=""),"",ROUND(MAX(0,IF($W203="Straight-line",IF(N($V203)&lt;=0,0,($S203-N($U203))*MIN($AJ203,$V203)/$V203),IF($W203="Reducing balance",MIN(($S203-N($U203)),$S203-$S203*(1-N($AG203))^INT($AJ203/12)*(1-N($AG203)*MOD($AJ203,12)/12)),IF($W203="DDB",IF(N($V203)&lt;=0,0,MIN(($S203-N($U203)),$S203-$S203*(1-MIN(1,24/$V203))^INT($AJ203/12)*(1-MIN(1,24/$V203)*MOD($AJ203,12)/12))),IF($W203="SYD",IF(N($V203)&lt;=0,0,($S203-N($U203))*(INT(MIN($AJ203,$V203)/12)*(2*($V203/12)-INT(MIN($AJ203,$V203)/12)+1)/2+MOD(MIN($AJ203,$V203),12)/12*(($V203/12)-INT(MIN($AJ203,$V203)/12)))/(($V203/12)*(($V203/12)+1)/2)),0))))),2))</f>
        <v/>
      </c>
      <c r="Y203" s="23">
        <f>IF($X203="","",$S203-$X203)</f>
        <v/>
      </c>
      <c r="AD203" s="20" t="n"/>
      <c r="AG203" s="24" t="n"/>
      <c r="AH203" s="20" t="n"/>
      <c r="AI203" s="21" t="n"/>
      <c r="AJ203" s="25">
        <f>IF($R203="","",IF($R203&gt;IF($AH203&lt;&gt;"",MIN($AH203,Settings!$B$3),Settings!$B$3),0,(YEAR(IF($AH203&lt;&gt;"",MIN($AH203,Settings!$B$3),Settings!$B$3))-YEAR($R203))*12+MONTH(IF($AH203&lt;&gt;"",MIN($AH203,Settings!$B$3),Settings!$B$3))-MONTH($R203)+1))</f>
        <v/>
      </c>
      <c r="AK203" s="25">
        <f>IF($R203="","",IF($R203&gt;MIN(Settings!$B$4-1,IF($AH203&lt;&gt;"",MIN($AH203,Settings!$B$3),Settings!$B$3)),0,(YEAR(MIN(Settings!$B$4-1,IF($AH203&lt;&gt;"",MIN($AH203,Settings!$B$3),Settings!$B$3)))-YEAR($R203))*12+MONTH(MIN(Settings!$B$4-1,IF($AH203&lt;&gt;"",MIN($AH203,Settings!$B$3),Settings!$B$3)))-MONTH($R203)+1))</f>
        <v/>
      </c>
      <c r="AL203" s="23">
        <f>IF(OR($S203="",$R203=""),"",ROUND(MAX(0,IF($W203="Straight-line",IF(N($V203)&lt;=0,0,($S203-N($U203))*MIN($AK203,$V203)/$V203),IF($W203="Reducing balance",MIN(($S203-N($U203)),$S203-$S203*(1-N($AG203))^INT($AK203/12)*(1-N($AG203)*MOD($AK203,12)/12)),IF($W203="DDB",IF(N($V203)&lt;=0,0,MIN(($S203-N($U203)),$S203-$S203*(1-MIN(1,24/$V203))^INT($AK203/12)*(1-MIN(1,24/$V203)*MOD($AK203,12)/12))),IF($W203="SYD",IF(N($V203)&lt;=0,0,($S203-N($U203))*(INT(MIN($AK203,$V203)/12)*(2*($V203/12)-INT(MIN($AK203,$V203)/12)+1)/2+MOD(MIN($AK203,$V203),12)/12*(($V203/12)-INT(MIN($AK203,$V203)/12)))/(($V203/12)*(($V203/12)+1)/2)),0))))),2))</f>
        <v/>
      </c>
      <c r="AM203" s="23">
        <f>IF($X203="","",$X203-$AL203)</f>
        <v/>
      </c>
      <c r="AN203" s="23">
        <f>IF(OR($AH203="",$Y203=""),"",N($AI203)-$Y203)</f>
        <v/>
      </c>
    </row>
    <row r="204">
      <c r="Q204" s="20" t="n"/>
      <c r="R204" s="20" t="n"/>
      <c r="S204" s="21" t="n"/>
      <c r="U204" s="21" t="n"/>
      <c r="V204" s="22" t="n"/>
      <c r="X204" s="23">
        <f>IF(OR($S204="",$R204=""),"",ROUND(MAX(0,IF($W204="Straight-line",IF(N($V204)&lt;=0,0,($S204-N($U204))*MIN($AJ204,$V204)/$V204),IF($W204="Reducing balance",MIN(($S204-N($U204)),$S204-$S204*(1-N($AG204))^INT($AJ204/12)*(1-N($AG204)*MOD($AJ204,12)/12)),IF($W204="DDB",IF(N($V204)&lt;=0,0,MIN(($S204-N($U204)),$S204-$S204*(1-MIN(1,24/$V204))^INT($AJ204/12)*(1-MIN(1,24/$V204)*MOD($AJ204,12)/12))),IF($W204="SYD",IF(N($V204)&lt;=0,0,($S204-N($U204))*(INT(MIN($AJ204,$V204)/12)*(2*($V204/12)-INT(MIN($AJ204,$V204)/12)+1)/2+MOD(MIN($AJ204,$V204),12)/12*(($V204/12)-INT(MIN($AJ204,$V204)/12)))/(($V204/12)*(($V204/12)+1)/2)),0))))),2))</f>
        <v/>
      </c>
      <c r="Y204" s="23">
        <f>IF($X204="","",$S204-$X204)</f>
        <v/>
      </c>
      <c r="AD204" s="20" t="n"/>
      <c r="AG204" s="24" t="n"/>
      <c r="AH204" s="20" t="n"/>
      <c r="AI204" s="21" t="n"/>
      <c r="AJ204" s="25">
        <f>IF($R204="","",IF($R204&gt;IF($AH204&lt;&gt;"",MIN($AH204,Settings!$B$3),Settings!$B$3),0,(YEAR(IF($AH204&lt;&gt;"",MIN($AH204,Settings!$B$3),Settings!$B$3))-YEAR($R204))*12+MONTH(IF($AH204&lt;&gt;"",MIN($AH204,Settings!$B$3),Settings!$B$3))-MONTH($R204)+1))</f>
        <v/>
      </c>
      <c r="AK204" s="25">
        <f>IF($R204="","",IF($R204&gt;MIN(Settings!$B$4-1,IF($AH204&lt;&gt;"",MIN($AH204,Settings!$B$3),Settings!$B$3)),0,(YEAR(MIN(Settings!$B$4-1,IF($AH204&lt;&gt;"",MIN($AH204,Settings!$B$3),Settings!$B$3)))-YEAR($R204))*12+MONTH(MIN(Settings!$B$4-1,IF($AH204&lt;&gt;"",MIN($AH204,Settings!$B$3),Settings!$B$3)))-MONTH($R204)+1))</f>
        <v/>
      </c>
      <c r="AL204" s="23">
        <f>IF(OR($S204="",$R204=""),"",ROUND(MAX(0,IF($W204="Straight-line",IF(N($V204)&lt;=0,0,($S204-N($U204))*MIN($AK204,$V204)/$V204),IF($W204="Reducing balance",MIN(($S204-N($U204)),$S204-$S204*(1-N($AG204))^INT($AK204/12)*(1-N($AG204)*MOD($AK204,12)/12)),IF($W204="DDB",IF(N($V204)&lt;=0,0,MIN(($S204-N($U204)),$S204-$S204*(1-MIN(1,24/$V204))^INT($AK204/12)*(1-MIN(1,24/$V204)*MOD($AK204,12)/12))),IF($W204="SYD",IF(N($V204)&lt;=0,0,($S204-N($U204))*(INT(MIN($AK204,$V204)/12)*(2*($V204/12)-INT(MIN($AK204,$V204)/12)+1)/2+MOD(MIN($AK204,$V204),12)/12*(($V204/12)-INT(MIN($AK204,$V204)/12)))/(($V204/12)*(($V204/12)+1)/2)),0))))),2))</f>
        <v/>
      </c>
      <c r="AM204" s="23">
        <f>IF($X204="","",$X204-$AL204)</f>
        <v/>
      </c>
      <c r="AN204" s="23">
        <f>IF(OR($AH204="",$Y204=""),"",N($AI204)-$Y204)</f>
        <v/>
      </c>
    </row>
    <row r="205">
      <c r="Q205" s="20" t="n"/>
      <c r="R205" s="20" t="n"/>
      <c r="S205" s="21" t="n"/>
      <c r="U205" s="21" t="n"/>
      <c r="V205" s="22" t="n"/>
      <c r="X205" s="23">
        <f>IF(OR($S205="",$R205=""),"",ROUND(MAX(0,IF($W205="Straight-line",IF(N($V205)&lt;=0,0,($S205-N($U205))*MIN($AJ205,$V205)/$V205),IF($W205="Reducing balance",MIN(($S205-N($U205)),$S205-$S205*(1-N($AG205))^INT($AJ205/12)*(1-N($AG205)*MOD($AJ205,12)/12)),IF($W205="DDB",IF(N($V205)&lt;=0,0,MIN(($S205-N($U205)),$S205-$S205*(1-MIN(1,24/$V205))^INT($AJ205/12)*(1-MIN(1,24/$V205)*MOD($AJ205,12)/12))),IF($W205="SYD",IF(N($V205)&lt;=0,0,($S205-N($U205))*(INT(MIN($AJ205,$V205)/12)*(2*($V205/12)-INT(MIN($AJ205,$V205)/12)+1)/2+MOD(MIN($AJ205,$V205),12)/12*(($V205/12)-INT(MIN($AJ205,$V205)/12)))/(($V205/12)*(($V205/12)+1)/2)),0))))),2))</f>
        <v/>
      </c>
      <c r="Y205" s="23">
        <f>IF($X205="","",$S205-$X205)</f>
        <v/>
      </c>
      <c r="AD205" s="20" t="n"/>
      <c r="AG205" s="24" t="n"/>
      <c r="AH205" s="20" t="n"/>
      <c r="AI205" s="21" t="n"/>
      <c r="AJ205" s="25">
        <f>IF($R205="","",IF($R205&gt;IF($AH205&lt;&gt;"",MIN($AH205,Settings!$B$3),Settings!$B$3),0,(YEAR(IF($AH205&lt;&gt;"",MIN($AH205,Settings!$B$3),Settings!$B$3))-YEAR($R205))*12+MONTH(IF($AH205&lt;&gt;"",MIN($AH205,Settings!$B$3),Settings!$B$3))-MONTH($R205)+1))</f>
        <v/>
      </c>
      <c r="AK205" s="25">
        <f>IF($R205="","",IF($R205&gt;MIN(Settings!$B$4-1,IF($AH205&lt;&gt;"",MIN($AH205,Settings!$B$3),Settings!$B$3)),0,(YEAR(MIN(Settings!$B$4-1,IF($AH205&lt;&gt;"",MIN($AH205,Settings!$B$3),Settings!$B$3)))-YEAR($R205))*12+MONTH(MIN(Settings!$B$4-1,IF($AH205&lt;&gt;"",MIN($AH205,Settings!$B$3),Settings!$B$3)))-MONTH($R205)+1))</f>
        <v/>
      </c>
      <c r="AL205" s="23">
        <f>IF(OR($S205="",$R205=""),"",ROUND(MAX(0,IF($W205="Straight-line",IF(N($V205)&lt;=0,0,($S205-N($U205))*MIN($AK205,$V205)/$V205),IF($W205="Reducing balance",MIN(($S205-N($U205)),$S205-$S205*(1-N($AG205))^INT($AK205/12)*(1-N($AG205)*MOD($AK205,12)/12)),IF($W205="DDB",IF(N($V205)&lt;=0,0,MIN(($S205-N($U205)),$S205-$S205*(1-MIN(1,24/$V205))^INT($AK205/12)*(1-MIN(1,24/$V205)*MOD($AK205,12)/12))),IF($W205="SYD",IF(N($V205)&lt;=0,0,($S205-N($U205))*(INT(MIN($AK205,$V205)/12)*(2*($V205/12)-INT(MIN($AK205,$V205)/12)+1)/2+MOD(MIN($AK205,$V205),12)/12*(($V205/12)-INT(MIN($AK205,$V205)/12)))/(($V205/12)*(($V205/12)+1)/2)),0))))),2))</f>
        <v/>
      </c>
      <c r="AM205" s="23">
        <f>IF($X205="","",$X205-$AL205)</f>
        <v/>
      </c>
      <c r="AN205" s="23">
        <f>IF(OR($AH205="",$Y205=""),"",N($AI205)-$Y205)</f>
        <v/>
      </c>
    </row>
    <row r="206">
      <c r="Q206" s="20" t="n"/>
      <c r="R206" s="20" t="n"/>
      <c r="S206" s="21" t="n"/>
      <c r="U206" s="21" t="n"/>
      <c r="V206" s="22" t="n"/>
      <c r="X206" s="23">
        <f>IF(OR($S206="",$R206=""),"",ROUND(MAX(0,IF($W206="Straight-line",IF(N($V206)&lt;=0,0,($S206-N($U206))*MIN($AJ206,$V206)/$V206),IF($W206="Reducing balance",MIN(($S206-N($U206)),$S206-$S206*(1-N($AG206))^INT($AJ206/12)*(1-N($AG206)*MOD($AJ206,12)/12)),IF($W206="DDB",IF(N($V206)&lt;=0,0,MIN(($S206-N($U206)),$S206-$S206*(1-MIN(1,24/$V206))^INT($AJ206/12)*(1-MIN(1,24/$V206)*MOD($AJ206,12)/12))),IF($W206="SYD",IF(N($V206)&lt;=0,0,($S206-N($U206))*(INT(MIN($AJ206,$V206)/12)*(2*($V206/12)-INT(MIN($AJ206,$V206)/12)+1)/2+MOD(MIN($AJ206,$V206),12)/12*(($V206/12)-INT(MIN($AJ206,$V206)/12)))/(($V206/12)*(($V206/12)+1)/2)),0))))),2))</f>
        <v/>
      </c>
      <c r="Y206" s="23">
        <f>IF($X206="","",$S206-$X206)</f>
        <v/>
      </c>
      <c r="AD206" s="20" t="n"/>
      <c r="AG206" s="24" t="n"/>
      <c r="AH206" s="20" t="n"/>
      <c r="AI206" s="21" t="n"/>
      <c r="AJ206" s="25">
        <f>IF($R206="","",IF($R206&gt;IF($AH206&lt;&gt;"",MIN($AH206,Settings!$B$3),Settings!$B$3),0,(YEAR(IF($AH206&lt;&gt;"",MIN($AH206,Settings!$B$3),Settings!$B$3))-YEAR($R206))*12+MONTH(IF($AH206&lt;&gt;"",MIN($AH206,Settings!$B$3),Settings!$B$3))-MONTH($R206)+1))</f>
        <v/>
      </c>
      <c r="AK206" s="25">
        <f>IF($R206="","",IF($R206&gt;MIN(Settings!$B$4-1,IF($AH206&lt;&gt;"",MIN($AH206,Settings!$B$3),Settings!$B$3)),0,(YEAR(MIN(Settings!$B$4-1,IF($AH206&lt;&gt;"",MIN($AH206,Settings!$B$3),Settings!$B$3)))-YEAR($R206))*12+MONTH(MIN(Settings!$B$4-1,IF($AH206&lt;&gt;"",MIN($AH206,Settings!$B$3),Settings!$B$3)))-MONTH($R206)+1))</f>
        <v/>
      </c>
      <c r="AL206" s="23">
        <f>IF(OR($S206="",$R206=""),"",ROUND(MAX(0,IF($W206="Straight-line",IF(N($V206)&lt;=0,0,($S206-N($U206))*MIN($AK206,$V206)/$V206),IF($W206="Reducing balance",MIN(($S206-N($U206)),$S206-$S206*(1-N($AG206))^INT($AK206/12)*(1-N($AG206)*MOD($AK206,12)/12)),IF($W206="DDB",IF(N($V206)&lt;=0,0,MIN(($S206-N($U206)),$S206-$S206*(1-MIN(1,24/$V206))^INT($AK206/12)*(1-MIN(1,24/$V206)*MOD($AK206,12)/12))),IF($W206="SYD",IF(N($V206)&lt;=0,0,($S206-N($U206))*(INT(MIN($AK206,$V206)/12)*(2*($V206/12)-INT(MIN($AK206,$V206)/12)+1)/2+MOD(MIN($AK206,$V206),12)/12*(($V206/12)-INT(MIN($AK206,$V206)/12)))/(($V206/12)*(($V206/12)+1)/2)),0))))),2))</f>
        <v/>
      </c>
      <c r="AM206" s="23">
        <f>IF($X206="","",$X206-$AL206)</f>
        <v/>
      </c>
      <c r="AN206" s="23">
        <f>IF(OR($AH206="",$Y206=""),"",N($AI206)-$Y206)</f>
        <v/>
      </c>
    </row>
    <row r="207">
      <c r="Q207" s="20" t="n"/>
      <c r="R207" s="20" t="n"/>
      <c r="S207" s="21" t="n"/>
      <c r="U207" s="21" t="n"/>
      <c r="V207" s="22" t="n"/>
      <c r="X207" s="23">
        <f>IF(OR($S207="",$R207=""),"",ROUND(MAX(0,IF($W207="Straight-line",IF(N($V207)&lt;=0,0,($S207-N($U207))*MIN($AJ207,$V207)/$V207),IF($W207="Reducing balance",MIN(($S207-N($U207)),$S207-$S207*(1-N($AG207))^INT($AJ207/12)*(1-N($AG207)*MOD($AJ207,12)/12)),IF($W207="DDB",IF(N($V207)&lt;=0,0,MIN(($S207-N($U207)),$S207-$S207*(1-MIN(1,24/$V207))^INT($AJ207/12)*(1-MIN(1,24/$V207)*MOD($AJ207,12)/12))),IF($W207="SYD",IF(N($V207)&lt;=0,0,($S207-N($U207))*(INT(MIN($AJ207,$V207)/12)*(2*($V207/12)-INT(MIN($AJ207,$V207)/12)+1)/2+MOD(MIN($AJ207,$V207),12)/12*(($V207/12)-INT(MIN($AJ207,$V207)/12)))/(($V207/12)*(($V207/12)+1)/2)),0))))),2))</f>
        <v/>
      </c>
      <c r="Y207" s="23">
        <f>IF($X207="","",$S207-$X207)</f>
        <v/>
      </c>
      <c r="AD207" s="20" t="n"/>
      <c r="AG207" s="24" t="n"/>
      <c r="AH207" s="20" t="n"/>
      <c r="AI207" s="21" t="n"/>
      <c r="AJ207" s="25">
        <f>IF($R207="","",IF($R207&gt;IF($AH207&lt;&gt;"",MIN($AH207,Settings!$B$3),Settings!$B$3),0,(YEAR(IF($AH207&lt;&gt;"",MIN($AH207,Settings!$B$3),Settings!$B$3))-YEAR($R207))*12+MONTH(IF($AH207&lt;&gt;"",MIN($AH207,Settings!$B$3),Settings!$B$3))-MONTH($R207)+1))</f>
        <v/>
      </c>
      <c r="AK207" s="25">
        <f>IF($R207="","",IF($R207&gt;MIN(Settings!$B$4-1,IF($AH207&lt;&gt;"",MIN($AH207,Settings!$B$3),Settings!$B$3)),0,(YEAR(MIN(Settings!$B$4-1,IF($AH207&lt;&gt;"",MIN($AH207,Settings!$B$3),Settings!$B$3)))-YEAR($R207))*12+MONTH(MIN(Settings!$B$4-1,IF($AH207&lt;&gt;"",MIN($AH207,Settings!$B$3),Settings!$B$3)))-MONTH($R207)+1))</f>
        <v/>
      </c>
      <c r="AL207" s="23">
        <f>IF(OR($S207="",$R207=""),"",ROUND(MAX(0,IF($W207="Straight-line",IF(N($V207)&lt;=0,0,($S207-N($U207))*MIN($AK207,$V207)/$V207),IF($W207="Reducing balance",MIN(($S207-N($U207)),$S207-$S207*(1-N($AG207))^INT($AK207/12)*(1-N($AG207)*MOD($AK207,12)/12)),IF($W207="DDB",IF(N($V207)&lt;=0,0,MIN(($S207-N($U207)),$S207-$S207*(1-MIN(1,24/$V207))^INT($AK207/12)*(1-MIN(1,24/$V207)*MOD($AK207,12)/12))),IF($W207="SYD",IF(N($V207)&lt;=0,0,($S207-N($U207))*(INT(MIN($AK207,$V207)/12)*(2*($V207/12)-INT(MIN($AK207,$V207)/12)+1)/2+MOD(MIN($AK207,$V207),12)/12*(($V207/12)-INT(MIN($AK207,$V207)/12)))/(($V207/12)*(($V207/12)+1)/2)),0))))),2))</f>
        <v/>
      </c>
      <c r="AM207" s="23">
        <f>IF($X207="","",$X207-$AL207)</f>
        <v/>
      </c>
      <c r="AN207" s="23">
        <f>IF(OR($AH207="",$Y207=""),"",N($AI207)-$Y207)</f>
        <v/>
      </c>
    </row>
    <row r="208">
      <c r="Q208" s="20" t="n"/>
      <c r="R208" s="20" t="n"/>
      <c r="S208" s="21" t="n"/>
      <c r="U208" s="21" t="n"/>
      <c r="V208" s="22" t="n"/>
      <c r="X208" s="23">
        <f>IF(OR($S208="",$R208=""),"",ROUND(MAX(0,IF($W208="Straight-line",IF(N($V208)&lt;=0,0,($S208-N($U208))*MIN($AJ208,$V208)/$V208),IF($W208="Reducing balance",MIN(($S208-N($U208)),$S208-$S208*(1-N($AG208))^INT($AJ208/12)*(1-N($AG208)*MOD($AJ208,12)/12)),IF($W208="DDB",IF(N($V208)&lt;=0,0,MIN(($S208-N($U208)),$S208-$S208*(1-MIN(1,24/$V208))^INT($AJ208/12)*(1-MIN(1,24/$V208)*MOD($AJ208,12)/12))),IF($W208="SYD",IF(N($V208)&lt;=0,0,($S208-N($U208))*(INT(MIN($AJ208,$V208)/12)*(2*($V208/12)-INT(MIN($AJ208,$V208)/12)+1)/2+MOD(MIN($AJ208,$V208),12)/12*(($V208/12)-INT(MIN($AJ208,$V208)/12)))/(($V208/12)*(($V208/12)+1)/2)),0))))),2))</f>
        <v/>
      </c>
      <c r="Y208" s="23">
        <f>IF($X208="","",$S208-$X208)</f>
        <v/>
      </c>
      <c r="AD208" s="20" t="n"/>
      <c r="AG208" s="24" t="n"/>
      <c r="AH208" s="20" t="n"/>
      <c r="AI208" s="21" t="n"/>
      <c r="AJ208" s="25">
        <f>IF($R208="","",IF($R208&gt;IF($AH208&lt;&gt;"",MIN($AH208,Settings!$B$3),Settings!$B$3),0,(YEAR(IF($AH208&lt;&gt;"",MIN($AH208,Settings!$B$3),Settings!$B$3))-YEAR($R208))*12+MONTH(IF($AH208&lt;&gt;"",MIN($AH208,Settings!$B$3),Settings!$B$3))-MONTH($R208)+1))</f>
        <v/>
      </c>
      <c r="AK208" s="25">
        <f>IF($R208="","",IF($R208&gt;MIN(Settings!$B$4-1,IF($AH208&lt;&gt;"",MIN($AH208,Settings!$B$3),Settings!$B$3)),0,(YEAR(MIN(Settings!$B$4-1,IF($AH208&lt;&gt;"",MIN($AH208,Settings!$B$3),Settings!$B$3)))-YEAR($R208))*12+MONTH(MIN(Settings!$B$4-1,IF($AH208&lt;&gt;"",MIN($AH208,Settings!$B$3),Settings!$B$3)))-MONTH($R208)+1))</f>
        <v/>
      </c>
      <c r="AL208" s="23">
        <f>IF(OR($S208="",$R208=""),"",ROUND(MAX(0,IF($W208="Straight-line",IF(N($V208)&lt;=0,0,($S208-N($U208))*MIN($AK208,$V208)/$V208),IF($W208="Reducing balance",MIN(($S208-N($U208)),$S208-$S208*(1-N($AG208))^INT($AK208/12)*(1-N($AG208)*MOD($AK208,12)/12)),IF($W208="DDB",IF(N($V208)&lt;=0,0,MIN(($S208-N($U208)),$S208-$S208*(1-MIN(1,24/$V208))^INT($AK208/12)*(1-MIN(1,24/$V208)*MOD($AK208,12)/12))),IF($W208="SYD",IF(N($V208)&lt;=0,0,($S208-N($U208))*(INT(MIN($AK208,$V208)/12)*(2*($V208/12)-INT(MIN($AK208,$V208)/12)+1)/2+MOD(MIN($AK208,$V208),12)/12*(($V208/12)-INT(MIN($AK208,$V208)/12)))/(($V208/12)*(($V208/12)+1)/2)),0))))),2))</f>
        <v/>
      </c>
      <c r="AM208" s="23">
        <f>IF($X208="","",$X208-$AL208)</f>
        <v/>
      </c>
      <c r="AN208" s="23">
        <f>IF(OR($AH208="",$Y208=""),"",N($AI208)-$Y208)</f>
        <v/>
      </c>
    </row>
    <row r="209">
      <c r="Q209" s="20" t="n"/>
      <c r="R209" s="20" t="n"/>
      <c r="S209" s="21" t="n"/>
      <c r="U209" s="21" t="n"/>
      <c r="V209" s="22" t="n"/>
      <c r="X209" s="23">
        <f>IF(OR($S209="",$R209=""),"",ROUND(MAX(0,IF($W209="Straight-line",IF(N($V209)&lt;=0,0,($S209-N($U209))*MIN($AJ209,$V209)/$V209),IF($W209="Reducing balance",MIN(($S209-N($U209)),$S209-$S209*(1-N($AG209))^INT($AJ209/12)*(1-N($AG209)*MOD($AJ209,12)/12)),IF($W209="DDB",IF(N($V209)&lt;=0,0,MIN(($S209-N($U209)),$S209-$S209*(1-MIN(1,24/$V209))^INT($AJ209/12)*(1-MIN(1,24/$V209)*MOD($AJ209,12)/12))),IF($W209="SYD",IF(N($V209)&lt;=0,0,($S209-N($U209))*(INT(MIN($AJ209,$V209)/12)*(2*($V209/12)-INT(MIN($AJ209,$V209)/12)+1)/2+MOD(MIN($AJ209,$V209),12)/12*(($V209/12)-INT(MIN($AJ209,$V209)/12)))/(($V209/12)*(($V209/12)+1)/2)),0))))),2))</f>
        <v/>
      </c>
      <c r="Y209" s="23">
        <f>IF($X209="","",$S209-$X209)</f>
        <v/>
      </c>
      <c r="AD209" s="20" t="n"/>
      <c r="AG209" s="24" t="n"/>
      <c r="AH209" s="20" t="n"/>
      <c r="AI209" s="21" t="n"/>
      <c r="AJ209" s="25">
        <f>IF($R209="","",IF($R209&gt;IF($AH209&lt;&gt;"",MIN($AH209,Settings!$B$3),Settings!$B$3),0,(YEAR(IF($AH209&lt;&gt;"",MIN($AH209,Settings!$B$3),Settings!$B$3))-YEAR($R209))*12+MONTH(IF($AH209&lt;&gt;"",MIN($AH209,Settings!$B$3),Settings!$B$3))-MONTH($R209)+1))</f>
        <v/>
      </c>
      <c r="AK209" s="25">
        <f>IF($R209="","",IF($R209&gt;MIN(Settings!$B$4-1,IF($AH209&lt;&gt;"",MIN($AH209,Settings!$B$3),Settings!$B$3)),0,(YEAR(MIN(Settings!$B$4-1,IF($AH209&lt;&gt;"",MIN($AH209,Settings!$B$3),Settings!$B$3)))-YEAR($R209))*12+MONTH(MIN(Settings!$B$4-1,IF($AH209&lt;&gt;"",MIN($AH209,Settings!$B$3),Settings!$B$3)))-MONTH($R209)+1))</f>
        <v/>
      </c>
      <c r="AL209" s="23">
        <f>IF(OR($S209="",$R209=""),"",ROUND(MAX(0,IF($W209="Straight-line",IF(N($V209)&lt;=0,0,($S209-N($U209))*MIN($AK209,$V209)/$V209),IF($W209="Reducing balance",MIN(($S209-N($U209)),$S209-$S209*(1-N($AG209))^INT($AK209/12)*(1-N($AG209)*MOD($AK209,12)/12)),IF($W209="DDB",IF(N($V209)&lt;=0,0,MIN(($S209-N($U209)),$S209-$S209*(1-MIN(1,24/$V209))^INT($AK209/12)*(1-MIN(1,24/$V209)*MOD($AK209,12)/12))),IF($W209="SYD",IF(N($V209)&lt;=0,0,($S209-N($U209))*(INT(MIN($AK209,$V209)/12)*(2*($V209/12)-INT(MIN($AK209,$V209)/12)+1)/2+MOD(MIN($AK209,$V209),12)/12*(($V209/12)-INT(MIN($AK209,$V209)/12)))/(($V209/12)*(($V209/12)+1)/2)),0))))),2))</f>
        <v/>
      </c>
      <c r="AM209" s="23">
        <f>IF($X209="","",$X209-$AL209)</f>
        <v/>
      </c>
      <c r="AN209" s="23">
        <f>IF(OR($AH209="",$Y209=""),"",N($AI209)-$Y209)</f>
        <v/>
      </c>
    </row>
    <row r="210">
      <c r="Q210" s="20" t="n"/>
      <c r="R210" s="20" t="n"/>
      <c r="S210" s="21" t="n"/>
      <c r="U210" s="21" t="n"/>
      <c r="V210" s="22" t="n"/>
      <c r="X210" s="23">
        <f>IF(OR($S210="",$R210=""),"",ROUND(MAX(0,IF($W210="Straight-line",IF(N($V210)&lt;=0,0,($S210-N($U210))*MIN($AJ210,$V210)/$V210),IF($W210="Reducing balance",MIN(($S210-N($U210)),$S210-$S210*(1-N($AG210))^INT($AJ210/12)*(1-N($AG210)*MOD($AJ210,12)/12)),IF($W210="DDB",IF(N($V210)&lt;=0,0,MIN(($S210-N($U210)),$S210-$S210*(1-MIN(1,24/$V210))^INT($AJ210/12)*(1-MIN(1,24/$V210)*MOD($AJ210,12)/12))),IF($W210="SYD",IF(N($V210)&lt;=0,0,($S210-N($U210))*(INT(MIN($AJ210,$V210)/12)*(2*($V210/12)-INT(MIN($AJ210,$V210)/12)+1)/2+MOD(MIN($AJ210,$V210),12)/12*(($V210/12)-INT(MIN($AJ210,$V210)/12)))/(($V210/12)*(($V210/12)+1)/2)),0))))),2))</f>
        <v/>
      </c>
      <c r="Y210" s="23">
        <f>IF($X210="","",$S210-$X210)</f>
        <v/>
      </c>
      <c r="AD210" s="20" t="n"/>
      <c r="AG210" s="24" t="n"/>
      <c r="AH210" s="20" t="n"/>
      <c r="AI210" s="21" t="n"/>
      <c r="AJ210" s="25">
        <f>IF($R210="","",IF($R210&gt;IF($AH210&lt;&gt;"",MIN($AH210,Settings!$B$3),Settings!$B$3),0,(YEAR(IF($AH210&lt;&gt;"",MIN($AH210,Settings!$B$3),Settings!$B$3))-YEAR($R210))*12+MONTH(IF($AH210&lt;&gt;"",MIN($AH210,Settings!$B$3),Settings!$B$3))-MONTH($R210)+1))</f>
        <v/>
      </c>
      <c r="AK210" s="25">
        <f>IF($R210="","",IF($R210&gt;MIN(Settings!$B$4-1,IF($AH210&lt;&gt;"",MIN($AH210,Settings!$B$3),Settings!$B$3)),0,(YEAR(MIN(Settings!$B$4-1,IF($AH210&lt;&gt;"",MIN($AH210,Settings!$B$3),Settings!$B$3)))-YEAR($R210))*12+MONTH(MIN(Settings!$B$4-1,IF($AH210&lt;&gt;"",MIN($AH210,Settings!$B$3),Settings!$B$3)))-MONTH($R210)+1))</f>
        <v/>
      </c>
      <c r="AL210" s="23">
        <f>IF(OR($S210="",$R210=""),"",ROUND(MAX(0,IF($W210="Straight-line",IF(N($V210)&lt;=0,0,($S210-N($U210))*MIN($AK210,$V210)/$V210),IF($W210="Reducing balance",MIN(($S210-N($U210)),$S210-$S210*(1-N($AG210))^INT($AK210/12)*(1-N($AG210)*MOD($AK210,12)/12)),IF($W210="DDB",IF(N($V210)&lt;=0,0,MIN(($S210-N($U210)),$S210-$S210*(1-MIN(1,24/$V210))^INT($AK210/12)*(1-MIN(1,24/$V210)*MOD($AK210,12)/12))),IF($W210="SYD",IF(N($V210)&lt;=0,0,($S210-N($U210))*(INT(MIN($AK210,$V210)/12)*(2*($V210/12)-INT(MIN($AK210,$V210)/12)+1)/2+MOD(MIN($AK210,$V210),12)/12*(($V210/12)-INT(MIN($AK210,$V210)/12)))/(($V210/12)*(($V210/12)+1)/2)),0))))),2))</f>
        <v/>
      </c>
      <c r="AM210" s="23">
        <f>IF($X210="","",$X210-$AL210)</f>
        <v/>
      </c>
      <c r="AN210" s="23">
        <f>IF(OR($AH210="",$Y210=""),"",N($AI210)-$Y210)</f>
        <v/>
      </c>
    </row>
    <row r="211">
      <c r="Q211" s="20" t="n"/>
      <c r="R211" s="20" t="n"/>
      <c r="S211" s="21" t="n"/>
      <c r="U211" s="21" t="n"/>
      <c r="V211" s="22" t="n"/>
      <c r="X211" s="23">
        <f>IF(OR($S211="",$R211=""),"",ROUND(MAX(0,IF($W211="Straight-line",IF(N($V211)&lt;=0,0,($S211-N($U211))*MIN($AJ211,$V211)/$V211),IF($W211="Reducing balance",MIN(($S211-N($U211)),$S211-$S211*(1-N($AG211))^INT($AJ211/12)*(1-N($AG211)*MOD($AJ211,12)/12)),IF($W211="DDB",IF(N($V211)&lt;=0,0,MIN(($S211-N($U211)),$S211-$S211*(1-MIN(1,24/$V211))^INT($AJ211/12)*(1-MIN(1,24/$V211)*MOD($AJ211,12)/12))),IF($W211="SYD",IF(N($V211)&lt;=0,0,($S211-N($U211))*(INT(MIN($AJ211,$V211)/12)*(2*($V211/12)-INT(MIN($AJ211,$V211)/12)+1)/2+MOD(MIN($AJ211,$V211),12)/12*(($V211/12)-INT(MIN($AJ211,$V211)/12)))/(($V211/12)*(($V211/12)+1)/2)),0))))),2))</f>
        <v/>
      </c>
      <c r="Y211" s="23">
        <f>IF($X211="","",$S211-$X211)</f>
        <v/>
      </c>
      <c r="AD211" s="20" t="n"/>
      <c r="AG211" s="24" t="n"/>
      <c r="AH211" s="20" t="n"/>
      <c r="AI211" s="21" t="n"/>
      <c r="AJ211" s="25">
        <f>IF($R211="","",IF($R211&gt;IF($AH211&lt;&gt;"",MIN($AH211,Settings!$B$3),Settings!$B$3),0,(YEAR(IF($AH211&lt;&gt;"",MIN($AH211,Settings!$B$3),Settings!$B$3))-YEAR($R211))*12+MONTH(IF($AH211&lt;&gt;"",MIN($AH211,Settings!$B$3),Settings!$B$3))-MONTH($R211)+1))</f>
        <v/>
      </c>
      <c r="AK211" s="25">
        <f>IF($R211="","",IF($R211&gt;MIN(Settings!$B$4-1,IF($AH211&lt;&gt;"",MIN($AH211,Settings!$B$3),Settings!$B$3)),0,(YEAR(MIN(Settings!$B$4-1,IF($AH211&lt;&gt;"",MIN($AH211,Settings!$B$3),Settings!$B$3)))-YEAR($R211))*12+MONTH(MIN(Settings!$B$4-1,IF($AH211&lt;&gt;"",MIN($AH211,Settings!$B$3),Settings!$B$3)))-MONTH($R211)+1))</f>
        <v/>
      </c>
      <c r="AL211" s="23">
        <f>IF(OR($S211="",$R211=""),"",ROUND(MAX(0,IF($W211="Straight-line",IF(N($V211)&lt;=0,0,($S211-N($U211))*MIN($AK211,$V211)/$V211),IF($W211="Reducing balance",MIN(($S211-N($U211)),$S211-$S211*(1-N($AG211))^INT($AK211/12)*(1-N($AG211)*MOD($AK211,12)/12)),IF($W211="DDB",IF(N($V211)&lt;=0,0,MIN(($S211-N($U211)),$S211-$S211*(1-MIN(1,24/$V211))^INT($AK211/12)*(1-MIN(1,24/$V211)*MOD($AK211,12)/12))),IF($W211="SYD",IF(N($V211)&lt;=0,0,($S211-N($U211))*(INT(MIN($AK211,$V211)/12)*(2*($V211/12)-INT(MIN($AK211,$V211)/12)+1)/2+MOD(MIN($AK211,$V211),12)/12*(($V211/12)-INT(MIN($AK211,$V211)/12)))/(($V211/12)*(($V211/12)+1)/2)),0))))),2))</f>
        <v/>
      </c>
      <c r="AM211" s="23">
        <f>IF($X211="","",$X211-$AL211)</f>
        <v/>
      </c>
      <c r="AN211" s="23">
        <f>IF(OR($AH211="",$Y211=""),"",N($AI211)-$Y211)</f>
        <v/>
      </c>
    </row>
    <row r="212">
      <c r="Q212" s="20" t="n"/>
      <c r="R212" s="20" t="n"/>
      <c r="S212" s="21" t="n"/>
      <c r="U212" s="21" t="n"/>
      <c r="V212" s="22" t="n"/>
      <c r="X212" s="23">
        <f>IF(OR($S212="",$R212=""),"",ROUND(MAX(0,IF($W212="Straight-line",IF(N($V212)&lt;=0,0,($S212-N($U212))*MIN($AJ212,$V212)/$V212),IF($W212="Reducing balance",MIN(($S212-N($U212)),$S212-$S212*(1-N($AG212))^INT($AJ212/12)*(1-N($AG212)*MOD($AJ212,12)/12)),IF($W212="DDB",IF(N($V212)&lt;=0,0,MIN(($S212-N($U212)),$S212-$S212*(1-MIN(1,24/$V212))^INT($AJ212/12)*(1-MIN(1,24/$V212)*MOD($AJ212,12)/12))),IF($W212="SYD",IF(N($V212)&lt;=0,0,($S212-N($U212))*(INT(MIN($AJ212,$V212)/12)*(2*($V212/12)-INT(MIN($AJ212,$V212)/12)+1)/2+MOD(MIN($AJ212,$V212),12)/12*(($V212/12)-INT(MIN($AJ212,$V212)/12)))/(($V212/12)*(($V212/12)+1)/2)),0))))),2))</f>
        <v/>
      </c>
      <c r="Y212" s="23">
        <f>IF($X212="","",$S212-$X212)</f>
        <v/>
      </c>
      <c r="AD212" s="20" t="n"/>
      <c r="AG212" s="24" t="n"/>
      <c r="AH212" s="20" t="n"/>
      <c r="AI212" s="21" t="n"/>
      <c r="AJ212" s="25">
        <f>IF($R212="","",IF($R212&gt;IF($AH212&lt;&gt;"",MIN($AH212,Settings!$B$3),Settings!$B$3),0,(YEAR(IF($AH212&lt;&gt;"",MIN($AH212,Settings!$B$3),Settings!$B$3))-YEAR($R212))*12+MONTH(IF($AH212&lt;&gt;"",MIN($AH212,Settings!$B$3),Settings!$B$3))-MONTH($R212)+1))</f>
        <v/>
      </c>
      <c r="AK212" s="25">
        <f>IF($R212="","",IF($R212&gt;MIN(Settings!$B$4-1,IF($AH212&lt;&gt;"",MIN($AH212,Settings!$B$3),Settings!$B$3)),0,(YEAR(MIN(Settings!$B$4-1,IF($AH212&lt;&gt;"",MIN($AH212,Settings!$B$3),Settings!$B$3)))-YEAR($R212))*12+MONTH(MIN(Settings!$B$4-1,IF($AH212&lt;&gt;"",MIN($AH212,Settings!$B$3),Settings!$B$3)))-MONTH($R212)+1))</f>
        <v/>
      </c>
      <c r="AL212" s="23">
        <f>IF(OR($S212="",$R212=""),"",ROUND(MAX(0,IF($W212="Straight-line",IF(N($V212)&lt;=0,0,($S212-N($U212))*MIN($AK212,$V212)/$V212),IF($W212="Reducing balance",MIN(($S212-N($U212)),$S212-$S212*(1-N($AG212))^INT($AK212/12)*(1-N($AG212)*MOD($AK212,12)/12)),IF($W212="DDB",IF(N($V212)&lt;=0,0,MIN(($S212-N($U212)),$S212-$S212*(1-MIN(1,24/$V212))^INT($AK212/12)*(1-MIN(1,24/$V212)*MOD($AK212,12)/12))),IF($W212="SYD",IF(N($V212)&lt;=0,0,($S212-N($U212))*(INT(MIN($AK212,$V212)/12)*(2*($V212/12)-INT(MIN($AK212,$V212)/12)+1)/2+MOD(MIN($AK212,$V212),12)/12*(($V212/12)-INT(MIN($AK212,$V212)/12)))/(($V212/12)*(($V212/12)+1)/2)),0))))),2))</f>
        <v/>
      </c>
      <c r="AM212" s="23">
        <f>IF($X212="","",$X212-$AL212)</f>
        <v/>
      </c>
      <c r="AN212" s="23">
        <f>IF(OR($AH212="",$Y212=""),"",N($AI212)-$Y212)</f>
        <v/>
      </c>
    </row>
    <row r="213">
      <c r="Q213" s="20" t="n"/>
      <c r="R213" s="20" t="n"/>
      <c r="S213" s="21" t="n"/>
      <c r="U213" s="21" t="n"/>
      <c r="V213" s="22" t="n"/>
      <c r="X213" s="23">
        <f>IF(OR($S213="",$R213=""),"",ROUND(MAX(0,IF($W213="Straight-line",IF(N($V213)&lt;=0,0,($S213-N($U213))*MIN($AJ213,$V213)/$V213),IF($W213="Reducing balance",MIN(($S213-N($U213)),$S213-$S213*(1-N($AG213))^INT($AJ213/12)*(1-N($AG213)*MOD($AJ213,12)/12)),IF($W213="DDB",IF(N($V213)&lt;=0,0,MIN(($S213-N($U213)),$S213-$S213*(1-MIN(1,24/$V213))^INT($AJ213/12)*(1-MIN(1,24/$V213)*MOD($AJ213,12)/12))),IF($W213="SYD",IF(N($V213)&lt;=0,0,($S213-N($U213))*(INT(MIN($AJ213,$V213)/12)*(2*($V213/12)-INT(MIN($AJ213,$V213)/12)+1)/2+MOD(MIN($AJ213,$V213),12)/12*(($V213/12)-INT(MIN($AJ213,$V213)/12)))/(($V213/12)*(($V213/12)+1)/2)),0))))),2))</f>
        <v/>
      </c>
      <c r="Y213" s="23">
        <f>IF($X213="","",$S213-$X213)</f>
        <v/>
      </c>
      <c r="AD213" s="20" t="n"/>
      <c r="AG213" s="24" t="n"/>
      <c r="AH213" s="20" t="n"/>
      <c r="AI213" s="21" t="n"/>
      <c r="AJ213" s="25">
        <f>IF($R213="","",IF($R213&gt;IF($AH213&lt;&gt;"",MIN($AH213,Settings!$B$3),Settings!$B$3),0,(YEAR(IF($AH213&lt;&gt;"",MIN($AH213,Settings!$B$3),Settings!$B$3))-YEAR($R213))*12+MONTH(IF($AH213&lt;&gt;"",MIN($AH213,Settings!$B$3),Settings!$B$3))-MONTH($R213)+1))</f>
        <v/>
      </c>
      <c r="AK213" s="25">
        <f>IF($R213="","",IF($R213&gt;MIN(Settings!$B$4-1,IF($AH213&lt;&gt;"",MIN($AH213,Settings!$B$3),Settings!$B$3)),0,(YEAR(MIN(Settings!$B$4-1,IF($AH213&lt;&gt;"",MIN($AH213,Settings!$B$3),Settings!$B$3)))-YEAR($R213))*12+MONTH(MIN(Settings!$B$4-1,IF($AH213&lt;&gt;"",MIN($AH213,Settings!$B$3),Settings!$B$3)))-MONTH($R213)+1))</f>
        <v/>
      </c>
      <c r="AL213" s="23">
        <f>IF(OR($S213="",$R213=""),"",ROUND(MAX(0,IF($W213="Straight-line",IF(N($V213)&lt;=0,0,($S213-N($U213))*MIN($AK213,$V213)/$V213),IF($W213="Reducing balance",MIN(($S213-N($U213)),$S213-$S213*(1-N($AG213))^INT($AK213/12)*(1-N($AG213)*MOD($AK213,12)/12)),IF($W213="DDB",IF(N($V213)&lt;=0,0,MIN(($S213-N($U213)),$S213-$S213*(1-MIN(1,24/$V213))^INT($AK213/12)*(1-MIN(1,24/$V213)*MOD($AK213,12)/12))),IF($W213="SYD",IF(N($V213)&lt;=0,0,($S213-N($U213))*(INT(MIN($AK213,$V213)/12)*(2*($V213/12)-INT(MIN($AK213,$V213)/12)+1)/2+MOD(MIN($AK213,$V213),12)/12*(($V213/12)-INT(MIN($AK213,$V213)/12)))/(($V213/12)*(($V213/12)+1)/2)),0))))),2))</f>
        <v/>
      </c>
      <c r="AM213" s="23">
        <f>IF($X213="","",$X213-$AL213)</f>
        <v/>
      </c>
      <c r="AN213" s="23">
        <f>IF(OR($AH213="",$Y213=""),"",N($AI213)-$Y213)</f>
        <v/>
      </c>
    </row>
    <row r="214">
      <c r="Q214" s="20" t="n"/>
      <c r="R214" s="20" t="n"/>
      <c r="S214" s="21" t="n"/>
      <c r="U214" s="21" t="n"/>
      <c r="V214" s="22" t="n"/>
      <c r="X214" s="23">
        <f>IF(OR($S214="",$R214=""),"",ROUND(MAX(0,IF($W214="Straight-line",IF(N($V214)&lt;=0,0,($S214-N($U214))*MIN($AJ214,$V214)/$V214),IF($W214="Reducing balance",MIN(($S214-N($U214)),$S214-$S214*(1-N($AG214))^INT($AJ214/12)*(1-N($AG214)*MOD($AJ214,12)/12)),IF($W214="DDB",IF(N($V214)&lt;=0,0,MIN(($S214-N($U214)),$S214-$S214*(1-MIN(1,24/$V214))^INT($AJ214/12)*(1-MIN(1,24/$V214)*MOD($AJ214,12)/12))),IF($W214="SYD",IF(N($V214)&lt;=0,0,($S214-N($U214))*(INT(MIN($AJ214,$V214)/12)*(2*($V214/12)-INT(MIN($AJ214,$V214)/12)+1)/2+MOD(MIN($AJ214,$V214),12)/12*(($V214/12)-INT(MIN($AJ214,$V214)/12)))/(($V214/12)*(($V214/12)+1)/2)),0))))),2))</f>
        <v/>
      </c>
      <c r="Y214" s="23">
        <f>IF($X214="","",$S214-$X214)</f>
        <v/>
      </c>
      <c r="AD214" s="20" t="n"/>
      <c r="AG214" s="24" t="n"/>
      <c r="AH214" s="20" t="n"/>
      <c r="AI214" s="21" t="n"/>
      <c r="AJ214" s="25">
        <f>IF($R214="","",IF($R214&gt;IF($AH214&lt;&gt;"",MIN($AH214,Settings!$B$3),Settings!$B$3),0,(YEAR(IF($AH214&lt;&gt;"",MIN($AH214,Settings!$B$3),Settings!$B$3))-YEAR($R214))*12+MONTH(IF($AH214&lt;&gt;"",MIN($AH214,Settings!$B$3),Settings!$B$3))-MONTH($R214)+1))</f>
        <v/>
      </c>
      <c r="AK214" s="25">
        <f>IF($R214="","",IF($R214&gt;MIN(Settings!$B$4-1,IF($AH214&lt;&gt;"",MIN($AH214,Settings!$B$3),Settings!$B$3)),0,(YEAR(MIN(Settings!$B$4-1,IF($AH214&lt;&gt;"",MIN($AH214,Settings!$B$3),Settings!$B$3)))-YEAR($R214))*12+MONTH(MIN(Settings!$B$4-1,IF($AH214&lt;&gt;"",MIN($AH214,Settings!$B$3),Settings!$B$3)))-MONTH($R214)+1))</f>
        <v/>
      </c>
      <c r="AL214" s="23">
        <f>IF(OR($S214="",$R214=""),"",ROUND(MAX(0,IF($W214="Straight-line",IF(N($V214)&lt;=0,0,($S214-N($U214))*MIN($AK214,$V214)/$V214),IF($W214="Reducing balance",MIN(($S214-N($U214)),$S214-$S214*(1-N($AG214))^INT($AK214/12)*(1-N($AG214)*MOD($AK214,12)/12)),IF($W214="DDB",IF(N($V214)&lt;=0,0,MIN(($S214-N($U214)),$S214-$S214*(1-MIN(1,24/$V214))^INT($AK214/12)*(1-MIN(1,24/$V214)*MOD($AK214,12)/12))),IF($W214="SYD",IF(N($V214)&lt;=0,0,($S214-N($U214))*(INT(MIN($AK214,$V214)/12)*(2*($V214/12)-INT(MIN($AK214,$V214)/12)+1)/2+MOD(MIN($AK214,$V214),12)/12*(($V214/12)-INT(MIN($AK214,$V214)/12)))/(($V214/12)*(($V214/12)+1)/2)),0))))),2))</f>
        <v/>
      </c>
      <c r="AM214" s="23">
        <f>IF($X214="","",$X214-$AL214)</f>
        <v/>
      </c>
      <c r="AN214" s="23">
        <f>IF(OR($AH214="",$Y214=""),"",N($AI214)-$Y214)</f>
        <v/>
      </c>
    </row>
    <row r="215">
      <c r="Q215" s="20" t="n"/>
      <c r="R215" s="20" t="n"/>
      <c r="S215" s="21" t="n"/>
      <c r="U215" s="21" t="n"/>
      <c r="V215" s="22" t="n"/>
      <c r="X215" s="23">
        <f>IF(OR($S215="",$R215=""),"",ROUND(MAX(0,IF($W215="Straight-line",IF(N($V215)&lt;=0,0,($S215-N($U215))*MIN($AJ215,$V215)/$V215),IF($W215="Reducing balance",MIN(($S215-N($U215)),$S215-$S215*(1-N($AG215))^INT($AJ215/12)*(1-N($AG215)*MOD($AJ215,12)/12)),IF($W215="DDB",IF(N($V215)&lt;=0,0,MIN(($S215-N($U215)),$S215-$S215*(1-MIN(1,24/$V215))^INT($AJ215/12)*(1-MIN(1,24/$V215)*MOD($AJ215,12)/12))),IF($W215="SYD",IF(N($V215)&lt;=0,0,($S215-N($U215))*(INT(MIN($AJ215,$V215)/12)*(2*($V215/12)-INT(MIN($AJ215,$V215)/12)+1)/2+MOD(MIN($AJ215,$V215),12)/12*(($V215/12)-INT(MIN($AJ215,$V215)/12)))/(($V215/12)*(($V215/12)+1)/2)),0))))),2))</f>
        <v/>
      </c>
      <c r="Y215" s="23">
        <f>IF($X215="","",$S215-$X215)</f>
        <v/>
      </c>
      <c r="AD215" s="20" t="n"/>
      <c r="AG215" s="24" t="n"/>
      <c r="AH215" s="20" t="n"/>
      <c r="AI215" s="21" t="n"/>
      <c r="AJ215" s="25">
        <f>IF($R215="","",IF($R215&gt;IF($AH215&lt;&gt;"",MIN($AH215,Settings!$B$3),Settings!$B$3),0,(YEAR(IF($AH215&lt;&gt;"",MIN($AH215,Settings!$B$3),Settings!$B$3))-YEAR($R215))*12+MONTH(IF($AH215&lt;&gt;"",MIN($AH215,Settings!$B$3),Settings!$B$3))-MONTH($R215)+1))</f>
        <v/>
      </c>
      <c r="AK215" s="25">
        <f>IF($R215="","",IF($R215&gt;MIN(Settings!$B$4-1,IF($AH215&lt;&gt;"",MIN($AH215,Settings!$B$3),Settings!$B$3)),0,(YEAR(MIN(Settings!$B$4-1,IF($AH215&lt;&gt;"",MIN($AH215,Settings!$B$3),Settings!$B$3)))-YEAR($R215))*12+MONTH(MIN(Settings!$B$4-1,IF($AH215&lt;&gt;"",MIN($AH215,Settings!$B$3),Settings!$B$3)))-MONTH($R215)+1))</f>
        <v/>
      </c>
      <c r="AL215" s="23">
        <f>IF(OR($S215="",$R215=""),"",ROUND(MAX(0,IF($W215="Straight-line",IF(N($V215)&lt;=0,0,($S215-N($U215))*MIN($AK215,$V215)/$V215),IF($W215="Reducing balance",MIN(($S215-N($U215)),$S215-$S215*(1-N($AG215))^INT($AK215/12)*(1-N($AG215)*MOD($AK215,12)/12)),IF($W215="DDB",IF(N($V215)&lt;=0,0,MIN(($S215-N($U215)),$S215-$S215*(1-MIN(1,24/$V215))^INT($AK215/12)*(1-MIN(1,24/$V215)*MOD($AK215,12)/12))),IF($W215="SYD",IF(N($V215)&lt;=0,0,($S215-N($U215))*(INT(MIN($AK215,$V215)/12)*(2*($V215/12)-INT(MIN($AK215,$V215)/12)+1)/2+MOD(MIN($AK215,$V215),12)/12*(($V215/12)-INT(MIN($AK215,$V215)/12)))/(($V215/12)*(($V215/12)+1)/2)),0))))),2))</f>
        <v/>
      </c>
      <c r="AM215" s="23">
        <f>IF($X215="","",$X215-$AL215)</f>
        <v/>
      </c>
      <c r="AN215" s="23">
        <f>IF(OR($AH215="",$Y215=""),"",N($AI215)-$Y215)</f>
        <v/>
      </c>
    </row>
    <row r="216">
      <c r="Q216" s="20" t="n"/>
      <c r="R216" s="20" t="n"/>
      <c r="S216" s="21" t="n"/>
      <c r="U216" s="21" t="n"/>
      <c r="V216" s="22" t="n"/>
      <c r="X216" s="23">
        <f>IF(OR($S216="",$R216=""),"",ROUND(MAX(0,IF($W216="Straight-line",IF(N($V216)&lt;=0,0,($S216-N($U216))*MIN($AJ216,$V216)/$V216),IF($W216="Reducing balance",MIN(($S216-N($U216)),$S216-$S216*(1-N($AG216))^INT($AJ216/12)*(1-N($AG216)*MOD($AJ216,12)/12)),IF($W216="DDB",IF(N($V216)&lt;=0,0,MIN(($S216-N($U216)),$S216-$S216*(1-MIN(1,24/$V216))^INT($AJ216/12)*(1-MIN(1,24/$V216)*MOD($AJ216,12)/12))),IF($W216="SYD",IF(N($V216)&lt;=0,0,($S216-N($U216))*(INT(MIN($AJ216,$V216)/12)*(2*($V216/12)-INT(MIN($AJ216,$V216)/12)+1)/2+MOD(MIN($AJ216,$V216),12)/12*(($V216/12)-INT(MIN($AJ216,$V216)/12)))/(($V216/12)*(($V216/12)+1)/2)),0))))),2))</f>
        <v/>
      </c>
      <c r="Y216" s="23">
        <f>IF($X216="","",$S216-$X216)</f>
        <v/>
      </c>
      <c r="AD216" s="20" t="n"/>
      <c r="AG216" s="24" t="n"/>
      <c r="AH216" s="20" t="n"/>
      <c r="AI216" s="21" t="n"/>
      <c r="AJ216" s="25">
        <f>IF($R216="","",IF($R216&gt;IF($AH216&lt;&gt;"",MIN($AH216,Settings!$B$3),Settings!$B$3),0,(YEAR(IF($AH216&lt;&gt;"",MIN($AH216,Settings!$B$3),Settings!$B$3))-YEAR($R216))*12+MONTH(IF($AH216&lt;&gt;"",MIN($AH216,Settings!$B$3),Settings!$B$3))-MONTH($R216)+1))</f>
        <v/>
      </c>
      <c r="AK216" s="25">
        <f>IF($R216="","",IF($R216&gt;MIN(Settings!$B$4-1,IF($AH216&lt;&gt;"",MIN($AH216,Settings!$B$3),Settings!$B$3)),0,(YEAR(MIN(Settings!$B$4-1,IF($AH216&lt;&gt;"",MIN($AH216,Settings!$B$3),Settings!$B$3)))-YEAR($R216))*12+MONTH(MIN(Settings!$B$4-1,IF($AH216&lt;&gt;"",MIN($AH216,Settings!$B$3),Settings!$B$3)))-MONTH($R216)+1))</f>
        <v/>
      </c>
      <c r="AL216" s="23">
        <f>IF(OR($S216="",$R216=""),"",ROUND(MAX(0,IF($W216="Straight-line",IF(N($V216)&lt;=0,0,($S216-N($U216))*MIN($AK216,$V216)/$V216),IF($W216="Reducing balance",MIN(($S216-N($U216)),$S216-$S216*(1-N($AG216))^INT($AK216/12)*(1-N($AG216)*MOD($AK216,12)/12)),IF($W216="DDB",IF(N($V216)&lt;=0,0,MIN(($S216-N($U216)),$S216-$S216*(1-MIN(1,24/$V216))^INT($AK216/12)*(1-MIN(1,24/$V216)*MOD($AK216,12)/12))),IF($W216="SYD",IF(N($V216)&lt;=0,0,($S216-N($U216))*(INT(MIN($AK216,$V216)/12)*(2*($V216/12)-INT(MIN($AK216,$V216)/12)+1)/2+MOD(MIN($AK216,$V216),12)/12*(($V216/12)-INT(MIN($AK216,$V216)/12)))/(($V216/12)*(($V216/12)+1)/2)),0))))),2))</f>
        <v/>
      </c>
      <c r="AM216" s="23">
        <f>IF($X216="","",$X216-$AL216)</f>
        <v/>
      </c>
      <c r="AN216" s="23">
        <f>IF(OR($AH216="",$Y216=""),"",N($AI216)-$Y216)</f>
        <v/>
      </c>
    </row>
    <row r="217">
      <c r="Q217" s="20" t="n"/>
      <c r="R217" s="20" t="n"/>
      <c r="S217" s="21" t="n"/>
      <c r="U217" s="21" t="n"/>
      <c r="V217" s="22" t="n"/>
      <c r="X217" s="23">
        <f>IF(OR($S217="",$R217=""),"",ROUND(MAX(0,IF($W217="Straight-line",IF(N($V217)&lt;=0,0,($S217-N($U217))*MIN($AJ217,$V217)/$V217),IF($W217="Reducing balance",MIN(($S217-N($U217)),$S217-$S217*(1-N($AG217))^INT($AJ217/12)*(1-N($AG217)*MOD($AJ217,12)/12)),IF($W217="DDB",IF(N($V217)&lt;=0,0,MIN(($S217-N($U217)),$S217-$S217*(1-MIN(1,24/$V217))^INT($AJ217/12)*(1-MIN(1,24/$V217)*MOD($AJ217,12)/12))),IF($W217="SYD",IF(N($V217)&lt;=0,0,($S217-N($U217))*(INT(MIN($AJ217,$V217)/12)*(2*($V217/12)-INT(MIN($AJ217,$V217)/12)+1)/2+MOD(MIN($AJ217,$V217),12)/12*(($V217/12)-INT(MIN($AJ217,$V217)/12)))/(($V217/12)*(($V217/12)+1)/2)),0))))),2))</f>
        <v/>
      </c>
      <c r="Y217" s="23">
        <f>IF($X217="","",$S217-$X217)</f>
        <v/>
      </c>
      <c r="AD217" s="20" t="n"/>
      <c r="AG217" s="24" t="n"/>
      <c r="AH217" s="20" t="n"/>
      <c r="AI217" s="21" t="n"/>
      <c r="AJ217" s="25">
        <f>IF($R217="","",IF($R217&gt;IF($AH217&lt;&gt;"",MIN($AH217,Settings!$B$3),Settings!$B$3),0,(YEAR(IF($AH217&lt;&gt;"",MIN($AH217,Settings!$B$3),Settings!$B$3))-YEAR($R217))*12+MONTH(IF($AH217&lt;&gt;"",MIN($AH217,Settings!$B$3),Settings!$B$3))-MONTH($R217)+1))</f>
        <v/>
      </c>
      <c r="AK217" s="25">
        <f>IF($R217="","",IF($R217&gt;MIN(Settings!$B$4-1,IF($AH217&lt;&gt;"",MIN($AH217,Settings!$B$3),Settings!$B$3)),0,(YEAR(MIN(Settings!$B$4-1,IF($AH217&lt;&gt;"",MIN($AH217,Settings!$B$3),Settings!$B$3)))-YEAR($R217))*12+MONTH(MIN(Settings!$B$4-1,IF($AH217&lt;&gt;"",MIN($AH217,Settings!$B$3),Settings!$B$3)))-MONTH($R217)+1))</f>
        <v/>
      </c>
      <c r="AL217" s="23">
        <f>IF(OR($S217="",$R217=""),"",ROUND(MAX(0,IF($W217="Straight-line",IF(N($V217)&lt;=0,0,($S217-N($U217))*MIN($AK217,$V217)/$V217),IF($W217="Reducing balance",MIN(($S217-N($U217)),$S217-$S217*(1-N($AG217))^INT($AK217/12)*(1-N($AG217)*MOD($AK217,12)/12)),IF($W217="DDB",IF(N($V217)&lt;=0,0,MIN(($S217-N($U217)),$S217-$S217*(1-MIN(1,24/$V217))^INT($AK217/12)*(1-MIN(1,24/$V217)*MOD($AK217,12)/12))),IF($W217="SYD",IF(N($V217)&lt;=0,0,($S217-N($U217))*(INT(MIN($AK217,$V217)/12)*(2*($V217/12)-INT(MIN($AK217,$V217)/12)+1)/2+MOD(MIN($AK217,$V217),12)/12*(($V217/12)-INT(MIN($AK217,$V217)/12)))/(($V217/12)*(($V217/12)+1)/2)),0))))),2))</f>
        <v/>
      </c>
      <c r="AM217" s="23">
        <f>IF($X217="","",$X217-$AL217)</f>
        <v/>
      </c>
      <c r="AN217" s="23">
        <f>IF(OR($AH217="",$Y217=""),"",N($AI217)-$Y217)</f>
        <v/>
      </c>
    </row>
    <row r="218">
      <c r="Q218" s="20" t="n"/>
      <c r="R218" s="20" t="n"/>
      <c r="S218" s="21" t="n"/>
      <c r="U218" s="21" t="n"/>
      <c r="V218" s="22" t="n"/>
      <c r="X218" s="23">
        <f>IF(OR($S218="",$R218=""),"",ROUND(MAX(0,IF($W218="Straight-line",IF(N($V218)&lt;=0,0,($S218-N($U218))*MIN($AJ218,$V218)/$V218),IF($W218="Reducing balance",MIN(($S218-N($U218)),$S218-$S218*(1-N($AG218))^INT($AJ218/12)*(1-N($AG218)*MOD($AJ218,12)/12)),IF($W218="DDB",IF(N($V218)&lt;=0,0,MIN(($S218-N($U218)),$S218-$S218*(1-MIN(1,24/$V218))^INT($AJ218/12)*(1-MIN(1,24/$V218)*MOD($AJ218,12)/12))),IF($W218="SYD",IF(N($V218)&lt;=0,0,($S218-N($U218))*(INT(MIN($AJ218,$V218)/12)*(2*($V218/12)-INT(MIN($AJ218,$V218)/12)+1)/2+MOD(MIN($AJ218,$V218),12)/12*(($V218/12)-INT(MIN($AJ218,$V218)/12)))/(($V218/12)*(($V218/12)+1)/2)),0))))),2))</f>
        <v/>
      </c>
      <c r="Y218" s="23">
        <f>IF($X218="","",$S218-$X218)</f>
        <v/>
      </c>
      <c r="AD218" s="20" t="n"/>
      <c r="AG218" s="24" t="n"/>
      <c r="AH218" s="20" t="n"/>
      <c r="AI218" s="21" t="n"/>
      <c r="AJ218" s="25">
        <f>IF($R218="","",IF($R218&gt;IF($AH218&lt;&gt;"",MIN($AH218,Settings!$B$3),Settings!$B$3),0,(YEAR(IF($AH218&lt;&gt;"",MIN($AH218,Settings!$B$3),Settings!$B$3))-YEAR($R218))*12+MONTH(IF($AH218&lt;&gt;"",MIN($AH218,Settings!$B$3),Settings!$B$3))-MONTH($R218)+1))</f>
        <v/>
      </c>
      <c r="AK218" s="25">
        <f>IF($R218="","",IF($R218&gt;MIN(Settings!$B$4-1,IF($AH218&lt;&gt;"",MIN($AH218,Settings!$B$3),Settings!$B$3)),0,(YEAR(MIN(Settings!$B$4-1,IF($AH218&lt;&gt;"",MIN($AH218,Settings!$B$3),Settings!$B$3)))-YEAR($R218))*12+MONTH(MIN(Settings!$B$4-1,IF($AH218&lt;&gt;"",MIN($AH218,Settings!$B$3),Settings!$B$3)))-MONTH($R218)+1))</f>
        <v/>
      </c>
      <c r="AL218" s="23">
        <f>IF(OR($S218="",$R218=""),"",ROUND(MAX(0,IF($W218="Straight-line",IF(N($V218)&lt;=0,0,($S218-N($U218))*MIN($AK218,$V218)/$V218),IF($W218="Reducing balance",MIN(($S218-N($U218)),$S218-$S218*(1-N($AG218))^INT($AK218/12)*(1-N($AG218)*MOD($AK218,12)/12)),IF($W218="DDB",IF(N($V218)&lt;=0,0,MIN(($S218-N($U218)),$S218-$S218*(1-MIN(1,24/$V218))^INT($AK218/12)*(1-MIN(1,24/$V218)*MOD($AK218,12)/12))),IF($W218="SYD",IF(N($V218)&lt;=0,0,($S218-N($U218))*(INT(MIN($AK218,$V218)/12)*(2*($V218/12)-INT(MIN($AK218,$V218)/12)+1)/2+MOD(MIN($AK218,$V218),12)/12*(($V218/12)-INT(MIN($AK218,$V218)/12)))/(($V218/12)*(($V218/12)+1)/2)),0))))),2))</f>
        <v/>
      </c>
      <c r="AM218" s="23">
        <f>IF($X218="","",$X218-$AL218)</f>
        <v/>
      </c>
      <c r="AN218" s="23">
        <f>IF(OR($AH218="",$Y218=""),"",N($AI218)-$Y218)</f>
        <v/>
      </c>
    </row>
    <row r="219">
      <c r="Q219" s="20" t="n"/>
      <c r="R219" s="20" t="n"/>
      <c r="S219" s="21" t="n"/>
      <c r="U219" s="21" t="n"/>
      <c r="V219" s="22" t="n"/>
      <c r="X219" s="23">
        <f>IF(OR($S219="",$R219=""),"",ROUND(MAX(0,IF($W219="Straight-line",IF(N($V219)&lt;=0,0,($S219-N($U219))*MIN($AJ219,$V219)/$V219),IF($W219="Reducing balance",MIN(($S219-N($U219)),$S219-$S219*(1-N($AG219))^INT($AJ219/12)*(1-N($AG219)*MOD($AJ219,12)/12)),IF($W219="DDB",IF(N($V219)&lt;=0,0,MIN(($S219-N($U219)),$S219-$S219*(1-MIN(1,24/$V219))^INT($AJ219/12)*(1-MIN(1,24/$V219)*MOD($AJ219,12)/12))),IF($W219="SYD",IF(N($V219)&lt;=0,0,($S219-N($U219))*(INT(MIN($AJ219,$V219)/12)*(2*($V219/12)-INT(MIN($AJ219,$V219)/12)+1)/2+MOD(MIN($AJ219,$V219),12)/12*(($V219/12)-INT(MIN($AJ219,$V219)/12)))/(($V219/12)*(($V219/12)+1)/2)),0))))),2))</f>
        <v/>
      </c>
      <c r="Y219" s="23">
        <f>IF($X219="","",$S219-$X219)</f>
        <v/>
      </c>
      <c r="AD219" s="20" t="n"/>
      <c r="AG219" s="24" t="n"/>
      <c r="AH219" s="20" t="n"/>
      <c r="AI219" s="21" t="n"/>
      <c r="AJ219" s="25">
        <f>IF($R219="","",IF($R219&gt;IF($AH219&lt;&gt;"",MIN($AH219,Settings!$B$3),Settings!$B$3),0,(YEAR(IF($AH219&lt;&gt;"",MIN($AH219,Settings!$B$3),Settings!$B$3))-YEAR($R219))*12+MONTH(IF($AH219&lt;&gt;"",MIN($AH219,Settings!$B$3),Settings!$B$3))-MONTH($R219)+1))</f>
        <v/>
      </c>
      <c r="AK219" s="25">
        <f>IF($R219="","",IF($R219&gt;MIN(Settings!$B$4-1,IF($AH219&lt;&gt;"",MIN($AH219,Settings!$B$3),Settings!$B$3)),0,(YEAR(MIN(Settings!$B$4-1,IF($AH219&lt;&gt;"",MIN($AH219,Settings!$B$3),Settings!$B$3)))-YEAR($R219))*12+MONTH(MIN(Settings!$B$4-1,IF($AH219&lt;&gt;"",MIN($AH219,Settings!$B$3),Settings!$B$3)))-MONTH($R219)+1))</f>
        <v/>
      </c>
      <c r="AL219" s="23">
        <f>IF(OR($S219="",$R219=""),"",ROUND(MAX(0,IF($W219="Straight-line",IF(N($V219)&lt;=0,0,($S219-N($U219))*MIN($AK219,$V219)/$V219),IF($W219="Reducing balance",MIN(($S219-N($U219)),$S219-$S219*(1-N($AG219))^INT($AK219/12)*(1-N($AG219)*MOD($AK219,12)/12)),IF($W219="DDB",IF(N($V219)&lt;=0,0,MIN(($S219-N($U219)),$S219-$S219*(1-MIN(1,24/$V219))^INT($AK219/12)*(1-MIN(1,24/$V219)*MOD($AK219,12)/12))),IF($W219="SYD",IF(N($V219)&lt;=0,0,($S219-N($U219))*(INT(MIN($AK219,$V219)/12)*(2*($V219/12)-INT(MIN($AK219,$V219)/12)+1)/2+MOD(MIN($AK219,$V219),12)/12*(($V219/12)-INT(MIN($AK219,$V219)/12)))/(($V219/12)*(($V219/12)+1)/2)),0))))),2))</f>
        <v/>
      </c>
      <c r="AM219" s="23">
        <f>IF($X219="","",$X219-$AL219)</f>
        <v/>
      </c>
      <c r="AN219" s="23">
        <f>IF(OR($AH219="",$Y219=""),"",N($AI219)-$Y219)</f>
        <v/>
      </c>
    </row>
    <row r="220">
      <c r="Q220" s="20" t="n"/>
      <c r="R220" s="20" t="n"/>
      <c r="S220" s="21" t="n"/>
      <c r="U220" s="21" t="n"/>
      <c r="V220" s="22" t="n"/>
      <c r="X220" s="23">
        <f>IF(OR($S220="",$R220=""),"",ROUND(MAX(0,IF($W220="Straight-line",IF(N($V220)&lt;=0,0,($S220-N($U220))*MIN($AJ220,$V220)/$V220),IF($W220="Reducing balance",MIN(($S220-N($U220)),$S220-$S220*(1-N($AG220))^INT($AJ220/12)*(1-N($AG220)*MOD($AJ220,12)/12)),IF($W220="DDB",IF(N($V220)&lt;=0,0,MIN(($S220-N($U220)),$S220-$S220*(1-MIN(1,24/$V220))^INT($AJ220/12)*(1-MIN(1,24/$V220)*MOD($AJ220,12)/12))),IF($W220="SYD",IF(N($V220)&lt;=0,0,($S220-N($U220))*(INT(MIN($AJ220,$V220)/12)*(2*($V220/12)-INT(MIN($AJ220,$V220)/12)+1)/2+MOD(MIN($AJ220,$V220),12)/12*(($V220/12)-INT(MIN($AJ220,$V220)/12)))/(($V220/12)*(($V220/12)+1)/2)),0))))),2))</f>
        <v/>
      </c>
      <c r="Y220" s="23">
        <f>IF($X220="","",$S220-$X220)</f>
        <v/>
      </c>
      <c r="AD220" s="20" t="n"/>
      <c r="AG220" s="24" t="n"/>
      <c r="AH220" s="20" t="n"/>
      <c r="AI220" s="21" t="n"/>
      <c r="AJ220" s="25">
        <f>IF($R220="","",IF($R220&gt;IF($AH220&lt;&gt;"",MIN($AH220,Settings!$B$3),Settings!$B$3),0,(YEAR(IF($AH220&lt;&gt;"",MIN($AH220,Settings!$B$3),Settings!$B$3))-YEAR($R220))*12+MONTH(IF($AH220&lt;&gt;"",MIN($AH220,Settings!$B$3),Settings!$B$3))-MONTH($R220)+1))</f>
        <v/>
      </c>
      <c r="AK220" s="25">
        <f>IF($R220="","",IF($R220&gt;MIN(Settings!$B$4-1,IF($AH220&lt;&gt;"",MIN($AH220,Settings!$B$3),Settings!$B$3)),0,(YEAR(MIN(Settings!$B$4-1,IF($AH220&lt;&gt;"",MIN($AH220,Settings!$B$3),Settings!$B$3)))-YEAR($R220))*12+MONTH(MIN(Settings!$B$4-1,IF($AH220&lt;&gt;"",MIN($AH220,Settings!$B$3),Settings!$B$3)))-MONTH($R220)+1))</f>
        <v/>
      </c>
      <c r="AL220" s="23">
        <f>IF(OR($S220="",$R220=""),"",ROUND(MAX(0,IF($W220="Straight-line",IF(N($V220)&lt;=0,0,($S220-N($U220))*MIN($AK220,$V220)/$V220),IF($W220="Reducing balance",MIN(($S220-N($U220)),$S220-$S220*(1-N($AG220))^INT($AK220/12)*(1-N($AG220)*MOD($AK220,12)/12)),IF($W220="DDB",IF(N($V220)&lt;=0,0,MIN(($S220-N($U220)),$S220-$S220*(1-MIN(1,24/$V220))^INT($AK220/12)*(1-MIN(1,24/$V220)*MOD($AK220,12)/12))),IF($W220="SYD",IF(N($V220)&lt;=0,0,($S220-N($U220))*(INT(MIN($AK220,$V220)/12)*(2*($V220/12)-INT(MIN($AK220,$V220)/12)+1)/2+MOD(MIN($AK220,$V220),12)/12*(($V220/12)-INT(MIN($AK220,$V220)/12)))/(($V220/12)*(($V220/12)+1)/2)),0))))),2))</f>
        <v/>
      </c>
      <c r="AM220" s="23">
        <f>IF($X220="","",$X220-$AL220)</f>
        <v/>
      </c>
      <c r="AN220" s="23">
        <f>IF(OR($AH220="",$Y220=""),"",N($AI220)-$Y220)</f>
        <v/>
      </c>
    </row>
    <row r="221">
      <c r="Q221" s="20" t="n"/>
      <c r="R221" s="20" t="n"/>
      <c r="S221" s="21" t="n"/>
      <c r="U221" s="21" t="n"/>
      <c r="V221" s="22" t="n"/>
      <c r="X221" s="23">
        <f>IF(OR($S221="",$R221=""),"",ROUND(MAX(0,IF($W221="Straight-line",IF(N($V221)&lt;=0,0,($S221-N($U221))*MIN($AJ221,$V221)/$V221),IF($W221="Reducing balance",MIN(($S221-N($U221)),$S221-$S221*(1-N($AG221))^INT($AJ221/12)*(1-N($AG221)*MOD($AJ221,12)/12)),IF($W221="DDB",IF(N($V221)&lt;=0,0,MIN(($S221-N($U221)),$S221-$S221*(1-MIN(1,24/$V221))^INT($AJ221/12)*(1-MIN(1,24/$V221)*MOD($AJ221,12)/12))),IF($W221="SYD",IF(N($V221)&lt;=0,0,($S221-N($U221))*(INT(MIN($AJ221,$V221)/12)*(2*($V221/12)-INT(MIN($AJ221,$V221)/12)+1)/2+MOD(MIN($AJ221,$V221),12)/12*(($V221/12)-INT(MIN($AJ221,$V221)/12)))/(($V221/12)*(($V221/12)+1)/2)),0))))),2))</f>
        <v/>
      </c>
      <c r="Y221" s="23">
        <f>IF($X221="","",$S221-$X221)</f>
        <v/>
      </c>
      <c r="AD221" s="20" t="n"/>
      <c r="AG221" s="24" t="n"/>
      <c r="AH221" s="20" t="n"/>
      <c r="AI221" s="21" t="n"/>
      <c r="AJ221" s="25">
        <f>IF($R221="","",IF($R221&gt;IF($AH221&lt;&gt;"",MIN($AH221,Settings!$B$3),Settings!$B$3),0,(YEAR(IF($AH221&lt;&gt;"",MIN($AH221,Settings!$B$3),Settings!$B$3))-YEAR($R221))*12+MONTH(IF($AH221&lt;&gt;"",MIN($AH221,Settings!$B$3),Settings!$B$3))-MONTH($R221)+1))</f>
        <v/>
      </c>
      <c r="AK221" s="25">
        <f>IF($R221="","",IF($R221&gt;MIN(Settings!$B$4-1,IF($AH221&lt;&gt;"",MIN($AH221,Settings!$B$3),Settings!$B$3)),0,(YEAR(MIN(Settings!$B$4-1,IF($AH221&lt;&gt;"",MIN($AH221,Settings!$B$3),Settings!$B$3)))-YEAR($R221))*12+MONTH(MIN(Settings!$B$4-1,IF($AH221&lt;&gt;"",MIN($AH221,Settings!$B$3),Settings!$B$3)))-MONTH($R221)+1))</f>
        <v/>
      </c>
      <c r="AL221" s="23">
        <f>IF(OR($S221="",$R221=""),"",ROUND(MAX(0,IF($W221="Straight-line",IF(N($V221)&lt;=0,0,($S221-N($U221))*MIN($AK221,$V221)/$V221),IF($W221="Reducing balance",MIN(($S221-N($U221)),$S221-$S221*(1-N($AG221))^INT($AK221/12)*(1-N($AG221)*MOD($AK221,12)/12)),IF($W221="DDB",IF(N($V221)&lt;=0,0,MIN(($S221-N($U221)),$S221-$S221*(1-MIN(1,24/$V221))^INT($AK221/12)*(1-MIN(1,24/$V221)*MOD($AK221,12)/12))),IF($W221="SYD",IF(N($V221)&lt;=0,0,($S221-N($U221))*(INT(MIN($AK221,$V221)/12)*(2*($V221/12)-INT(MIN($AK221,$V221)/12)+1)/2+MOD(MIN($AK221,$V221),12)/12*(($V221/12)-INT(MIN($AK221,$V221)/12)))/(($V221/12)*(($V221/12)+1)/2)),0))))),2))</f>
        <v/>
      </c>
      <c r="AM221" s="23">
        <f>IF($X221="","",$X221-$AL221)</f>
        <v/>
      </c>
      <c r="AN221" s="23">
        <f>IF(OR($AH221="",$Y221=""),"",N($AI221)-$Y221)</f>
        <v/>
      </c>
    </row>
    <row r="222">
      <c r="Q222" s="20" t="n"/>
      <c r="R222" s="20" t="n"/>
      <c r="S222" s="21" t="n"/>
      <c r="U222" s="21" t="n"/>
      <c r="V222" s="22" t="n"/>
      <c r="X222" s="23">
        <f>IF(OR($S222="",$R222=""),"",ROUND(MAX(0,IF($W222="Straight-line",IF(N($V222)&lt;=0,0,($S222-N($U222))*MIN($AJ222,$V222)/$V222),IF($W222="Reducing balance",MIN(($S222-N($U222)),$S222-$S222*(1-N($AG222))^INT($AJ222/12)*(1-N($AG222)*MOD($AJ222,12)/12)),IF($W222="DDB",IF(N($V222)&lt;=0,0,MIN(($S222-N($U222)),$S222-$S222*(1-MIN(1,24/$V222))^INT($AJ222/12)*(1-MIN(1,24/$V222)*MOD($AJ222,12)/12))),IF($W222="SYD",IF(N($V222)&lt;=0,0,($S222-N($U222))*(INT(MIN($AJ222,$V222)/12)*(2*($V222/12)-INT(MIN($AJ222,$V222)/12)+1)/2+MOD(MIN($AJ222,$V222),12)/12*(($V222/12)-INT(MIN($AJ222,$V222)/12)))/(($V222/12)*(($V222/12)+1)/2)),0))))),2))</f>
        <v/>
      </c>
      <c r="Y222" s="23">
        <f>IF($X222="","",$S222-$X222)</f>
        <v/>
      </c>
      <c r="AD222" s="20" t="n"/>
      <c r="AG222" s="24" t="n"/>
      <c r="AH222" s="20" t="n"/>
      <c r="AI222" s="21" t="n"/>
      <c r="AJ222" s="25">
        <f>IF($R222="","",IF($R222&gt;IF($AH222&lt;&gt;"",MIN($AH222,Settings!$B$3),Settings!$B$3),0,(YEAR(IF($AH222&lt;&gt;"",MIN($AH222,Settings!$B$3),Settings!$B$3))-YEAR($R222))*12+MONTH(IF($AH222&lt;&gt;"",MIN($AH222,Settings!$B$3),Settings!$B$3))-MONTH($R222)+1))</f>
        <v/>
      </c>
      <c r="AK222" s="25">
        <f>IF($R222="","",IF($R222&gt;MIN(Settings!$B$4-1,IF($AH222&lt;&gt;"",MIN($AH222,Settings!$B$3),Settings!$B$3)),0,(YEAR(MIN(Settings!$B$4-1,IF($AH222&lt;&gt;"",MIN($AH222,Settings!$B$3),Settings!$B$3)))-YEAR($R222))*12+MONTH(MIN(Settings!$B$4-1,IF($AH222&lt;&gt;"",MIN($AH222,Settings!$B$3),Settings!$B$3)))-MONTH($R222)+1))</f>
        <v/>
      </c>
      <c r="AL222" s="23">
        <f>IF(OR($S222="",$R222=""),"",ROUND(MAX(0,IF($W222="Straight-line",IF(N($V222)&lt;=0,0,($S222-N($U222))*MIN($AK222,$V222)/$V222),IF($W222="Reducing balance",MIN(($S222-N($U222)),$S222-$S222*(1-N($AG222))^INT($AK222/12)*(1-N($AG222)*MOD($AK222,12)/12)),IF($W222="DDB",IF(N($V222)&lt;=0,0,MIN(($S222-N($U222)),$S222-$S222*(1-MIN(1,24/$V222))^INT($AK222/12)*(1-MIN(1,24/$V222)*MOD($AK222,12)/12))),IF($W222="SYD",IF(N($V222)&lt;=0,0,($S222-N($U222))*(INT(MIN($AK222,$V222)/12)*(2*($V222/12)-INT(MIN($AK222,$V222)/12)+1)/2+MOD(MIN($AK222,$V222),12)/12*(($V222/12)-INT(MIN($AK222,$V222)/12)))/(($V222/12)*(($V222/12)+1)/2)),0))))),2))</f>
        <v/>
      </c>
      <c r="AM222" s="23">
        <f>IF($X222="","",$X222-$AL222)</f>
        <v/>
      </c>
      <c r="AN222" s="23">
        <f>IF(OR($AH222="",$Y222=""),"",N($AI222)-$Y222)</f>
        <v/>
      </c>
    </row>
    <row r="223">
      <c r="Q223" s="20" t="n"/>
      <c r="R223" s="20" t="n"/>
      <c r="S223" s="21" t="n"/>
      <c r="U223" s="21" t="n"/>
      <c r="V223" s="22" t="n"/>
      <c r="X223" s="23">
        <f>IF(OR($S223="",$R223=""),"",ROUND(MAX(0,IF($W223="Straight-line",IF(N($V223)&lt;=0,0,($S223-N($U223))*MIN($AJ223,$V223)/$V223),IF($W223="Reducing balance",MIN(($S223-N($U223)),$S223-$S223*(1-N($AG223))^INT($AJ223/12)*(1-N($AG223)*MOD($AJ223,12)/12)),IF($W223="DDB",IF(N($V223)&lt;=0,0,MIN(($S223-N($U223)),$S223-$S223*(1-MIN(1,24/$V223))^INT($AJ223/12)*(1-MIN(1,24/$V223)*MOD($AJ223,12)/12))),IF($W223="SYD",IF(N($V223)&lt;=0,0,($S223-N($U223))*(INT(MIN($AJ223,$V223)/12)*(2*($V223/12)-INT(MIN($AJ223,$V223)/12)+1)/2+MOD(MIN($AJ223,$V223),12)/12*(($V223/12)-INT(MIN($AJ223,$V223)/12)))/(($V223/12)*(($V223/12)+1)/2)),0))))),2))</f>
        <v/>
      </c>
      <c r="Y223" s="23">
        <f>IF($X223="","",$S223-$X223)</f>
        <v/>
      </c>
      <c r="AD223" s="20" t="n"/>
      <c r="AG223" s="24" t="n"/>
      <c r="AH223" s="20" t="n"/>
      <c r="AI223" s="21" t="n"/>
      <c r="AJ223" s="25">
        <f>IF($R223="","",IF($R223&gt;IF($AH223&lt;&gt;"",MIN($AH223,Settings!$B$3),Settings!$B$3),0,(YEAR(IF($AH223&lt;&gt;"",MIN($AH223,Settings!$B$3),Settings!$B$3))-YEAR($R223))*12+MONTH(IF($AH223&lt;&gt;"",MIN($AH223,Settings!$B$3),Settings!$B$3))-MONTH($R223)+1))</f>
        <v/>
      </c>
      <c r="AK223" s="25">
        <f>IF($R223="","",IF($R223&gt;MIN(Settings!$B$4-1,IF($AH223&lt;&gt;"",MIN($AH223,Settings!$B$3),Settings!$B$3)),0,(YEAR(MIN(Settings!$B$4-1,IF($AH223&lt;&gt;"",MIN($AH223,Settings!$B$3),Settings!$B$3)))-YEAR($R223))*12+MONTH(MIN(Settings!$B$4-1,IF($AH223&lt;&gt;"",MIN($AH223,Settings!$B$3),Settings!$B$3)))-MONTH($R223)+1))</f>
        <v/>
      </c>
      <c r="AL223" s="23">
        <f>IF(OR($S223="",$R223=""),"",ROUND(MAX(0,IF($W223="Straight-line",IF(N($V223)&lt;=0,0,($S223-N($U223))*MIN($AK223,$V223)/$V223),IF($W223="Reducing balance",MIN(($S223-N($U223)),$S223-$S223*(1-N($AG223))^INT($AK223/12)*(1-N($AG223)*MOD($AK223,12)/12)),IF($W223="DDB",IF(N($V223)&lt;=0,0,MIN(($S223-N($U223)),$S223-$S223*(1-MIN(1,24/$V223))^INT($AK223/12)*(1-MIN(1,24/$V223)*MOD($AK223,12)/12))),IF($W223="SYD",IF(N($V223)&lt;=0,0,($S223-N($U223))*(INT(MIN($AK223,$V223)/12)*(2*($V223/12)-INT(MIN($AK223,$V223)/12)+1)/2+MOD(MIN($AK223,$V223),12)/12*(($V223/12)-INT(MIN($AK223,$V223)/12)))/(($V223/12)*(($V223/12)+1)/2)),0))))),2))</f>
        <v/>
      </c>
      <c r="AM223" s="23">
        <f>IF($X223="","",$X223-$AL223)</f>
        <v/>
      </c>
      <c r="AN223" s="23">
        <f>IF(OR($AH223="",$Y223=""),"",N($AI223)-$Y223)</f>
        <v/>
      </c>
    </row>
    <row r="224">
      <c r="Q224" s="20" t="n"/>
      <c r="R224" s="20" t="n"/>
      <c r="S224" s="21" t="n"/>
      <c r="U224" s="21" t="n"/>
      <c r="V224" s="22" t="n"/>
      <c r="X224" s="23">
        <f>IF(OR($S224="",$R224=""),"",ROUND(MAX(0,IF($W224="Straight-line",IF(N($V224)&lt;=0,0,($S224-N($U224))*MIN($AJ224,$V224)/$V224),IF($W224="Reducing balance",MIN(($S224-N($U224)),$S224-$S224*(1-N($AG224))^INT($AJ224/12)*(1-N($AG224)*MOD($AJ224,12)/12)),IF($W224="DDB",IF(N($V224)&lt;=0,0,MIN(($S224-N($U224)),$S224-$S224*(1-MIN(1,24/$V224))^INT($AJ224/12)*(1-MIN(1,24/$V224)*MOD($AJ224,12)/12))),IF($W224="SYD",IF(N($V224)&lt;=0,0,($S224-N($U224))*(INT(MIN($AJ224,$V224)/12)*(2*($V224/12)-INT(MIN($AJ224,$V224)/12)+1)/2+MOD(MIN($AJ224,$V224),12)/12*(($V224/12)-INT(MIN($AJ224,$V224)/12)))/(($V224/12)*(($V224/12)+1)/2)),0))))),2))</f>
        <v/>
      </c>
      <c r="Y224" s="23">
        <f>IF($X224="","",$S224-$X224)</f>
        <v/>
      </c>
      <c r="AD224" s="20" t="n"/>
      <c r="AG224" s="24" t="n"/>
      <c r="AH224" s="20" t="n"/>
      <c r="AI224" s="21" t="n"/>
      <c r="AJ224" s="25">
        <f>IF($R224="","",IF($R224&gt;IF($AH224&lt;&gt;"",MIN($AH224,Settings!$B$3),Settings!$B$3),0,(YEAR(IF($AH224&lt;&gt;"",MIN($AH224,Settings!$B$3),Settings!$B$3))-YEAR($R224))*12+MONTH(IF($AH224&lt;&gt;"",MIN($AH224,Settings!$B$3),Settings!$B$3))-MONTH($R224)+1))</f>
        <v/>
      </c>
      <c r="AK224" s="25">
        <f>IF($R224="","",IF($R224&gt;MIN(Settings!$B$4-1,IF($AH224&lt;&gt;"",MIN($AH224,Settings!$B$3),Settings!$B$3)),0,(YEAR(MIN(Settings!$B$4-1,IF($AH224&lt;&gt;"",MIN($AH224,Settings!$B$3),Settings!$B$3)))-YEAR($R224))*12+MONTH(MIN(Settings!$B$4-1,IF($AH224&lt;&gt;"",MIN($AH224,Settings!$B$3),Settings!$B$3)))-MONTH($R224)+1))</f>
        <v/>
      </c>
      <c r="AL224" s="23">
        <f>IF(OR($S224="",$R224=""),"",ROUND(MAX(0,IF($W224="Straight-line",IF(N($V224)&lt;=0,0,($S224-N($U224))*MIN($AK224,$V224)/$V224),IF($W224="Reducing balance",MIN(($S224-N($U224)),$S224-$S224*(1-N($AG224))^INT($AK224/12)*(1-N($AG224)*MOD($AK224,12)/12)),IF($W224="DDB",IF(N($V224)&lt;=0,0,MIN(($S224-N($U224)),$S224-$S224*(1-MIN(1,24/$V224))^INT($AK224/12)*(1-MIN(1,24/$V224)*MOD($AK224,12)/12))),IF($W224="SYD",IF(N($V224)&lt;=0,0,($S224-N($U224))*(INT(MIN($AK224,$V224)/12)*(2*($V224/12)-INT(MIN($AK224,$V224)/12)+1)/2+MOD(MIN($AK224,$V224),12)/12*(($V224/12)-INT(MIN($AK224,$V224)/12)))/(($V224/12)*(($V224/12)+1)/2)),0))))),2))</f>
        <v/>
      </c>
      <c r="AM224" s="23">
        <f>IF($X224="","",$X224-$AL224)</f>
        <v/>
      </c>
      <c r="AN224" s="23">
        <f>IF(OR($AH224="",$Y224=""),"",N($AI224)-$Y224)</f>
        <v/>
      </c>
    </row>
    <row r="225">
      <c r="Q225" s="20" t="n"/>
      <c r="R225" s="20" t="n"/>
      <c r="S225" s="21" t="n"/>
      <c r="U225" s="21" t="n"/>
      <c r="V225" s="22" t="n"/>
      <c r="X225" s="23">
        <f>IF(OR($S225="",$R225=""),"",ROUND(MAX(0,IF($W225="Straight-line",IF(N($V225)&lt;=0,0,($S225-N($U225))*MIN($AJ225,$V225)/$V225),IF($W225="Reducing balance",MIN(($S225-N($U225)),$S225-$S225*(1-N($AG225))^INT($AJ225/12)*(1-N($AG225)*MOD($AJ225,12)/12)),IF($W225="DDB",IF(N($V225)&lt;=0,0,MIN(($S225-N($U225)),$S225-$S225*(1-MIN(1,24/$V225))^INT($AJ225/12)*(1-MIN(1,24/$V225)*MOD($AJ225,12)/12))),IF($W225="SYD",IF(N($V225)&lt;=0,0,($S225-N($U225))*(INT(MIN($AJ225,$V225)/12)*(2*($V225/12)-INT(MIN($AJ225,$V225)/12)+1)/2+MOD(MIN($AJ225,$V225),12)/12*(($V225/12)-INT(MIN($AJ225,$V225)/12)))/(($V225/12)*(($V225/12)+1)/2)),0))))),2))</f>
        <v/>
      </c>
      <c r="Y225" s="23">
        <f>IF($X225="","",$S225-$X225)</f>
        <v/>
      </c>
      <c r="AD225" s="20" t="n"/>
      <c r="AG225" s="24" t="n"/>
      <c r="AH225" s="20" t="n"/>
      <c r="AI225" s="21" t="n"/>
      <c r="AJ225" s="25">
        <f>IF($R225="","",IF($R225&gt;IF($AH225&lt;&gt;"",MIN($AH225,Settings!$B$3),Settings!$B$3),0,(YEAR(IF($AH225&lt;&gt;"",MIN($AH225,Settings!$B$3),Settings!$B$3))-YEAR($R225))*12+MONTH(IF($AH225&lt;&gt;"",MIN($AH225,Settings!$B$3),Settings!$B$3))-MONTH($R225)+1))</f>
        <v/>
      </c>
      <c r="AK225" s="25">
        <f>IF($R225="","",IF($R225&gt;MIN(Settings!$B$4-1,IF($AH225&lt;&gt;"",MIN($AH225,Settings!$B$3),Settings!$B$3)),0,(YEAR(MIN(Settings!$B$4-1,IF($AH225&lt;&gt;"",MIN($AH225,Settings!$B$3),Settings!$B$3)))-YEAR($R225))*12+MONTH(MIN(Settings!$B$4-1,IF($AH225&lt;&gt;"",MIN($AH225,Settings!$B$3),Settings!$B$3)))-MONTH($R225)+1))</f>
        <v/>
      </c>
      <c r="AL225" s="23">
        <f>IF(OR($S225="",$R225=""),"",ROUND(MAX(0,IF($W225="Straight-line",IF(N($V225)&lt;=0,0,($S225-N($U225))*MIN($AK225,$V225)/$V225),IF($W225="Reducing balance",MIN(($S225-N($U225)),$S225-$S225*(1-N($AG225))^INT($AK225/12)*(1-N($AG225)*MOD($AK225,12)/12)),IF($W225="DDB",IF(N($V225)&lt;=0,0,MIN(($S225-N($U225)),$S225-$S225*(1-MIN(1,24/$V225))^INT($AK225/12)*(1-MIN(1,24/$V225)*MOD($AK225,12)/12))),IF($W225="SYD",IF(N($V225)&lt;=0,0,($S225-N($U225))*(INT(MIN($AK225,$V225)/12)*(2*($V225/12)-INT(MIN($AK225,$V225)/12)+1)/2+MOD(MIN($AK225,$V225),12)/12*(($V225/12)-INT(MIN($AK225,$V225)/12)))/(($V225/12)*(($V225/12)+1)/2)),0))))),2))</f>
        <v/>
      </c>
      <c r="AM225" s="23">
        <f>IF($X225="","",$X225-$AL225)</f>
        <v/>
      </c>
      <c r="AN225" s="23">
        <f>IF(OR($AH225="",$Y225=""),"",N($AI225)-$Y225)</f>
        <v/>
      </c>
    </row>
    <row r="226">
      <c r="Q226" s="20" t="n"/>
      <c r="R226" s="20" t="n"/>
      <c r="S226" s="21" t="n"/>
      <c r="U226" s="21" t="n"/>
      <c r="V226" s="22" t="n"/>
      <c r="X226" s="23">
        <f>IF(OR($S226="",$R226=""),"",ROUND(MAX(0,IF($W226="Straight-line",IF(N($V226)&lt;=0,0,($S226-N($U226))*MIN($AJ226,$V226)/$V226),IF($W226="Reducing balance",MIN(($S226-N($U226)),$S226-$S226*(1-N($AG226))^INT($AJ226/12)*(1-N($AG226)*MOD($AJ226,12)/12)),IF($W226="DDB",IF(N($V226)&lt;=0,0,MIN(($S226-N($U226)),$S226-$S226*(1-MIN(1,24/$V226))^INT($AJ226/12)*(1-MIN(1,24/$V226)*MOD($AJ226,12)/12))),IF($W226="SYD",IF(N($V226)&lt;=0,0,($S226-N($U226))*(INT(MIN($AJ226,$V226)/12)*(2*($V226/12)-INT(MIN($AJ226,$V226)/12)+1)/2+MOD(MIN($AJ226,$V226),12)/12*(($V226/12)-INT(MIN($AJ226,$V226)/12)))/(($V226/12)*(($V226/12)+1)/2)),0))))),2))</f>
        <v/>
      </c>
      <c r="Y226" s="23">
        <f>IF($X226="","",$S226-$X226)</f>
        <v/>
      </c>
      <c r="AD226" s="20" t="n"/>
      <c r="AG226" s="24" t="n"/>
      <c r="AH226" s="20" t="n"/>
      <c r="AI226" s="21" t="n"/>
      <c r="AJ226" s="25">
        <f>IF($R226="","",IF($R226&gt;IF($AH226&lt;&gt;"",MIN($AH226,Settings!$B$3),Settings!$B$3),0,(YEAR(IF($AH226&lt;&gt;"",MIN($AH226,Settings!$B$3),Settings!$B$3))-YEAR($R226))*12+MONTH(IF($AH226&lt;&gt;"",MIN($AH226,Settings!$B$3),Settings!$B$3))-MONTH($R226)+1))</f>
        <v/>
      </c>
      <c r="AK226" s="25">
        <f>IF($R226="","",IF($R226&gt;MIN(Settings!$B$4-1,IF($AH226&lt;&gt;"",MIN($AH226,Settings!$B$3),Settings!$B$3)),0,(YEAR(MIN(Settings!$B$4-1,IF($AH226&lt;&gt;"",MIN($AH226,Settings!$B$3),Settings!$B$3)))-YEAR($R226))*12+MONTH(MIN(Settings!$B$4-1,IF($AH226&lt;&gt;"",MIN($AH226,Settings!$B$3),Settings!$B$3)))-MONTH($R226)+1))</f>
        <v/>
      </c>
      <c r="AL226" s="23">
        <f>IF(OR($S226="",$R226=""),"",ROUND(MAX(0,IF($W226="Straight-line",IF(N($V226)&lt;=0,0,($S226-N($U226))*MIN($AK226,$V226)/$V226),IF($W226="Reducing balance",MIN(($S226-N($U226)),$S226-$S226*(1-N($AG226))^INT($AK226/12)*(1-N($AG226)*MOD($AK226,12)/12)),IF($W226="DDB",IF(N($V226)&lt;=0,0,MIN(($S226-N($U226)),$S226-$S226*(1-MIN(1,24/$V226))^INT($AK226/12)*(1-MIN(1,24/$V226)*MOD($AK226,12)/12))),IF($W226="SYD",IF(N($V226)&lt;=0,0,($S226-N($U226))*(INT(MIN($AK226,$V226)/12)*(2*($V226/12)-INT(MIN($AK226,$V226)/12)+1)/2+MOD(MIN($AK226,$V226),12)/12*(($V226/12)-INT(MIN($AK226,$V226)/12)))/(($V226/12)*(($V226/12)+1)/2)),0))))),2))</f>
        <v/>
      </c>
      <c r="AM226" s="23">
        <f>IF($X226="","",$X226-$AL226)</f>
        <v/>
      </c>
      <c r="AN226" s="23">
        <f>IF(OR($AH226="",$Y226=""),"",N($AI226)-$Y226)</f>
        <v/>
      </c>
    </row>
    <row r="227">
      <c r="Q227" s="20" t="n"/>
      <c r="R227" s="20" t="n"/>
      <c r="S227" s="21" t="n"/>
      <c r="U227" s="21" t="n"/>
      <c r="V227" s="22" t="n"/>
      <c r="X227" s="23">
        <f>IF(OR($S227="",$R227=""),"",ROUND(MAX(0,IF($W227="Straight-line",IF(N($V227)&lt;=0,0,($S227-N($U227))*MIN($AJ227,$V227)/$V227),IF($W227="Reducing balance",MIN(($S227-N($U227)),$S227-$S227*(1-N($AG227))^INT($AJ227/12)*(1-N($AG227)*MOD($AJ227,12)/12)),IF($W227="DDB",IF(N($V227)&lt;=0,0,MIN(($S227-N($U227)),$S227-$S227*(1-MIN(1,24/$V227))^INT($AJ227/12)*(1-MIN(1,24/$V227)*MOD($AJ227,12)/12))),IF($W227="SYD",IF(N($V227)&lt;=0,0,($S227-N($U227))*(INT(MIN($AJ227,$V227)/12)*(2*($V227/12)-INT(MIN($AJ227,$V227)/12)+1)/2+MOD(MIN($AJ227,$V227),12)/12*(($V227/12)-INT(MIN($AJ227,$V227)/12)))/(($V227/12)*(($V227/12)+1)/2)),0))))),2))</f>
        <v/>
      </c>
      <c r="Y227" s="23">
        <f>IF($X227="","",$S227-$X227)</f>
        <v/>
      </c>
      <c r="AD227" s="20" t="n"/>
      <c r="AG227" s="24" t="n"/>
      <c r="AH227" s="20" t="n"/>
      <c r="AI227" s="21" t="n"/>
      <c r="AJ227" s="25">
        <f>IF($R227="","",IF($R227&gt;IF($AH227&lt;&gt;"",MIN($AH227,Settings!$B$3),Settings!$B$3),0,(YEAR(IF($AH227&lt;&gt;"",MIN($AH227,Settings!$B$3),Settings!$B$3))-YEAR($R227))*12+MONTH(IF($AH227&lt;&gt;"",MIN($AH227,Settings!$B$3),Settings!$B$3))-MONTH($R227)+1))</f>
        <v/>
      </c>
      <c r="AK227" s="25">
        <f>IF($R227="","",IF($R227&gt;MIN(Settings!$B$4-1,IF($AH227&lt;&gt;"",MIN($AH227,Settings!$B$3),Settings!$B$3)),0,(YEAR(MIN(Settings!$B$4-1,IF($AH227&lt;&gt;"",MIN($AH227,Settings!$B$3),Settings!$B$3)))-YEAR($R227))*12+MONTH(MIN(Settings!$B$4-1,IF($AH227&lt;&gt;"",MIN($AH227,Settings!$B$3),Settings!$B$3)))-MONTH($R227)+1))</f>
        <v/>
      </c>
      <c r="AL227" s="23">
        <f>IF(OR($S227="",$R227=""),"",ROUND(MAX(0,IF($W227="Straight-line",IF(N($V227)&lt;=0,0,($S227-N($U227))*MIN($AK227,$V227)/$V227),IF($W227="Reducing balance",MIN(($S227-N($U227)),$S227-$S227*(1-N($AG227))^INT($AK227/12)*(1-N($AG227)*MOD($AK227,12)/12)),IF($W227="DDB",IF(N($V227)&lt;=0,0,MIN(($S227-N($U227)),$S227-$S227*(1-MIN(1,24/$V227))^INT($AK227/12)*(1-MIN(1,24/$V227)*MOD($AK227,12)/12))),IF($W227="SYD",IF(N($V227)&lt;=0,0,($S227-N($U227))*(INT(MIN($AK227,$V227)/12)*(2*($V227/12)-INT(MIN($AK227,$V227)/12)+1)/2+MOD(MIN($AK227,$V227),12)/12*(($V227/12)-INT(MIN($AK227,$V227)/12)))/(($V227/12)*(($V227/12)+1)/2)),0))))),2))</f>
        <v/>
      </c>
      <c r="AM227" s="23">
        <f>IF($X227="","",$X227-$AL227)</f>
        <v/>
      </c>
      <c r="AN227" s="23">
        <f>IF(OR($AH227="",$Y227=""),"",N($AI227)-$Y227)</f>
        <v/>
      </c>
    </row>
    <row r="228">
      <c r="Q228" s="20" t="n"/>
      <c r="R228" s="20" t="n"/>
      <c r="S228" s="21" t="n"/>
      <c r="U228" s="21" t="n"/>
      <c r="V228" s="22" t="n"/>
      <c r="X228" s="23">
        <f>IF(OR($S228="",$R228=""),"",ROUND(MAX(0,IF($W228="Straight-line",IF(N($V228)&lt;=0,0,($S228-N($U228))*MIN($AJ228,$V228)/$V228),IF($W228="Reducing balance",MIN(($S228-N($U228)),$S228-$S228*(1-N($AG228))^INT($AJ228/12)*(1-N($AG228)*MOD($AJ228,12)/12)),IF($W228="DDB",IF(N($V228)&lt;=0,0,MIN(($S228-N($U228)),$S228-$S228*(1-MIN(1,24/$V228))^INT($AJ228/12)*(1-MIN(1,24/$V228)*MOD($AJ228,12)/12))),IF($W228="SYD",IF(N($V228)&lt;=0,0,($S228-N($U228))*(INT(MIN($AJ228,$V228)/12)*(2*($V228/12)-INT(MIN($AJ228,$V228)/12)+1)/2+MOD(MIN($AJ228,$V228),12)/12*(($V228/12)-INT(MIN($AJ228,$V228)/12)))/(($V228/12)*(($V228/12)+1)/2)),0))))),2))</f>
        <v/>
      </c>
      <c r="Y228" s="23">
        <f>IF($X228="","",$S228-$X228)</f>
        <v/>
      </c>
      <c r="AD228" s="20" t="n"/>
      <c r="AG228" s="24" t="n"/>
      <c r="AH228" s="20" t="n"/>
      <c r="AI228" s="21" t="n"/>
      <c r="AJ228" s="25">
        <f>IF($R228="","",IF($R228&gt;IF($AH228&lt;&gt;"",MIN($AH228,Settings!$B$3),Settings!$B$3),0,(YEAR(IF($AH228&lt;&gt;"",MIN($AH228,Settings!$B$3),Settings!$B$3))-YEAR($R228))*12+MONTH(IF($AH228&lt;&gt;"",MIN($AH228,Settings!$B$3),Settings!$B$3))-MONTH($R228)+1))</f>
        <v/>
      </c>
      <c r="AK228" s="25">
        <f>IF($R228="","",IF($R228&gt;MIN(Settings!$B$4-1,IF($AH228&lt;&gt;"",MIN($AH228,Settings!$B$3),Settings!$B$3)),0,(YEAR(MIN(Settings!$B$4-1,IF($AH228&lt;&gt;"",MIN($AH228,Settings!$B$3),Settings!$B$3)))-YEAR($R228))*12+MONTH(MIN(Settings!$B$4-1,IF($AH228&lt;&gt;"",MIN($AH228,Settings!$B$3),Settings!$B$3)))-MONTH($R228)+1))</f>
        <v/>
      </c>
      <c r="AL228" s="23">
        <f>IF(OR($S228="",$R228=""),"",ROUND(MAX(0,IF($W228="Straight-line",IF(N($V228)&lt;=0,0,($S228-N($U228))*MIN($AK228,$V228)/$V228),IF($W228="Reducing balance",MIN(($S228-N($U228)),$S228-$S228*(1-N($AG228))^INT($AK228/12)*(1-N($AG228)*MOD($AK228,12)/12)),IF($W228="DDB",IF(N($V228)&lt;=0,0,MIN(($S228-N($U228)),$S228-$S228*(1-MIN(1,24/$V228))^INT($AK228/12)*(1-MIN(1,24/$V228)*MOD($AK228,12)/12))),IF($W228="SYD",IF(N($V228)&lt;=0,0,($S228-N($U228))*(INT(MIN($AK228,$V228)/12)*(2*($V228/12)-INT(MIN($AK228,$V228)/12)+1)/2+MOD(MIN($AK228,$V228),12)/12*(($V228/12)-INT(MIN($AK228,$V228)/12)))/(($V228/12)*(($V228/12)+1)/2)),0))))),2))</f>
        <v/>
      </c>
      <c r="AM228" s="23">
        <f>IF($X228="","",$X228-$AL228)</f>
        <v/>
      </c>
      <c r="AN228" s="23">
        <f>IF(OR($AH228="",$Y228=""),"",N($AI228)-$Y228)</f>
        <v/>
      </c>
    </row>
    <row r="229">
      <c r="Q229" s="20" t="n"/>
      <c r="R229" s="20" t="n"/>
      <c r="S229" s="21" t="n"/>
      <c r="U229" s="21" t="n"/>
      <c r="V229" s="22" t="n"/>
      <c r="X229" s="23">
        <f>IF(OR($S229="",$R229=""),"",ROUND(MAX(0,IF($W229="Straight-line",IF(N($V229)&lt;=0,0,($S229-N($U229))*MIN($AJ229,$V229)/$V229),IF($W229="Reducing balance",MIN(($S229-N($U229)),$S229-$S229*(1-N($AG229))^INT($AJ229/12)*(1-N($AG229)*MOD($AJ229,12)/12)),IF($W229="DDB",IF(N($V229)&lt;=0,0,MIN(($S229-N($U229)),$S229-$S229*(1-MIN(1,24/$V229))^INT($AJ229/12)*(1-MIN(1,24/$V229)*MOD($AJ229,12)/12))),IF($W229="SYD",IF(N($V229)&lt;=0,0,($S229-N($U229))*(INT(MIN($AJ229,$V229)/12)*(2*($V229/12)-INT(MIN($AJ229,$V229)/12)+1)/2+MOD(MIN($AJ229,$V229),12)/12*(($V229/12)-INT(MIN($AJ229,$V229)/12)))/(($V229/12)*(($V229/12)+1)/2)),0))))),2))</f>
        <v/>
      </c>
      <c r="Y229" s="23">
        <f>IF($X229="","",$S229-$X229)</f>
        <v/>
      </c>
      <c r="AD229" s="20" t="n"/>
      <c r="AG229" s="24" t="n"/>
      <c r="AH229" s="20" t="n"/>
      <c r="AI229" s="21" t="n"/>
      <c r="AJ229" s="25">
        <f>IF($R229="","",IF($R229&gt;IF($AH229&lt;&gt;"",MIN($AH229,Settings!$B$3),Settings!$B$3),0,(YEAR(IF($AH229&lt;&gt;"",MIN($AH229,Settings!$B$3),Settings!$B$3))-YEAR($R229))*12+MONTH(IF($AH229&lt;&gt;"",MIN($AH229,Settings!$B$3),Settings!$B$3))-MONTH($R229)+1))</f>
        <v/>
      </c>
      <c r="AK229" s="25">
        <f>IF($R229="","",IF($R229&gt;MIN(Settings!$B$4-1,IF($AH229&lt;&gt;"",MIN($AH229,Settings!$B$3),Settings!$B$3)),0,(YEAR(MIN(Settings!$B$4-1,IF($AH229&lt;&gt;"",MIN($AH229,Settings!$B$3),Settings!$B$3)))-YEAR($R229))*12+MONTH(MIN(Settings!$B$4-1,IF($AH229&lt;&gt;"",MIN($AH229,Settings!$B$3),Settings!$B$3)))-MONTH($R229)+1))</f>
        <v/>
      </c>
      <c r="AL229" s="23">
        <f>IF(OR($S229="",$R229=""),"",ROUND(MAX(0,IF($W229="Straight-line",IF(N($V229)&lt;=0,0,($S229-N($U229))*MIN($AK229,$V229)/$V229),IF($W229="Reducing balance",MIN(($S229-N($U229)),$S229-$S229*(1-N($AG229))^INT($AK229/12)*(1-N($AG229)*MOD($AK229,12)/12)),IF($W229="DDB",IF(N($V229)&lt;=0,0,MIN(($S229-N($U229)),$S229-$S229*(1-MIN(1,24/$V229))^INT($AK229/12)*(1-MIN(1,24/$V229)*MOD($AK229,12)/12))),IF($W229="SYD",IF(N($V229)&lt;=0,0,($S229-N($U229))*(INT(MIN($AK229,$V229)/12)*(2*($V229/12)-INT(MIN($AK229,$V229)/12)+1)/2+MOD(MIN($AK229,$V229),12)/12*(($V229/12)-INT(MIN($AK229,$V229)/12)))/(($V229/12)*(($V229/12)+1)/2)),0))))),2))</f>
        <v/>
      </c>
      <c r="AM229" s="23">
        <f>IF($X229="","",$X229-$AL229)</f>
        <v/>
      </c>
      <c r="AN229" s="23">
        <f>IF(OR($AH229="",$Y229=""),"",N($AI229)-$Y229)</f>
        <v/>
      </c>
    </row>
    <row r="230">
      <c r="Q230" s="20" t="n"/>
      <c r="R230" s="20" t="n"/>
      <c r="S230" s="21" t="n"/>
      <c r="U230" s="21" t="n"/>
      <c r="V230" s="22" t="n"/>
      <c r="X230" s="23">
        <f>IF(OR($S230="",$R230=""),"",ROUND(MAX(0,IF($W230="Straight-line",IF(N($V230)&lt;=0,0,($S230-N($U230))*MIN($AJ230,$V230)/$V230),IF($W230="Reducing balance",MIN(($S230-N($U230)),$S230-$S230*(1-N($AG230))^INT($AJ230/12)*(1-N($AG230)*MOD($AJ230,12)/12)),IF($W230="DDB",IF(N($V230)&lt;=0,0,MIN(($S230-N($U230)),$S230-$S230*(1-MIN(1,24/$V230))^INT($AJ230/12)*(1-MIN(1,24/$V230)*MOD($AJ230,12)/12))),IF($W230="SYD",IF(N($V230)&lt;=0,0,($S230-N($U230))*(INT(MIN($AJ230,$V230)/12)*(2*($V230/12)-INT(MIN($AJ230,$V230)/12)+1)/2+MOD(MIN($AJ230,$V230),12)/12*(($V230/12)-INT(MIN($AJ230,$V230)/12)))/(($V230/12)*(($V230/12)+1)/2)),0))))),2))</f>
        <v/>
      </c>
      <c r="Y230" s="23">
        <f>IF($X230="","",$S230-$X230)</f>
        <v/>
      </c>
      <c r="AD230" s="20" t="n"/>
      <c r="AG230" s="24" t="n"/>
      <c r="AH230" s="20" t="n"/>
      <c r="AI230" s="21" t="n"/>
      <c r="AJ230" s="25">
        <f>IF($R230="","",IF($R230&gt;IF($AH230&lt;&gt;"",MIN($AH230,Settings!$B$3),Settings!$B$3),0,(YEAR(IF($AH230&lt;&gt;"",MIN($AH230,Settings!$B$3),Settings!$B$3))-YEAR($R230))*12+MONTH(IF($AH230&lt;&gt;"",MIN($AH230,Settings!$B$3),Settings!$B$3))-MONTH($R230)+1))</f>
        <v/>
      </c>
      <c r="AK230" s="25">
        <f>IF($R230="","",IF($R230&gt;MIN(Settings!$B$4-1,IF($AH230&lt;&gt;"",MIN($AH230,Settings!$B$3),Settings!$B$3)),0,(YEAR(MIN(Settings!$B$4-1,IF($AH230&lt;&gt;"",MIN($AH230,Settings!$B$3),Settings!$B$3)))-YEAR($R230))*12+MONTH(MIN(Settings!$B$4-1,IF($AH230&lt;&gt;"",MIN($AH230,Settings!$B$3),Settings!$B$3)))-MONTH($R230)+1))</f>
        <v/>
      </c>
      <c r="AL230" s="23">
        <f>IF(OR($S230="",$R230=""),"",ROUND(MAX(0,IF($W230="Straight-line",IF(N($V230)&lt;=0,0,($S230-N($U230))*MIN($AK230,$V230)/$V230),IF($W230="Reducing balance",MIN(($S230-N($U230)),$S230-$S230*(1-N($AG230))^INT($AK230/12)*(1-N($AG230)*MOD($AK230,12)/12)),IF($W230="DDB",IF(N($V230)&lt;=0,0,MIN(($S230-N($U230)),$S230-$S230*(1-MIN(1,24/$V230))^INT($AK230/12)*(1-MIN(1,24/$V230)*MOD($AK230,12)/12))),IF($W230="SYD",IF(N($V230)&lt;=0,0,($S230-N($U230))*(INT(MIN($AK230,$V230)/12)*(2*($V230/12)-INT(MIN($AK230,$V230)/12)+1)/2+MOD(MIN($AK230,$V230),12)/12*(($V230/12)-INT(MIN($AK230,$V230)/12)))/(($V230/12)*(($V230/12)+1)/2)),0))))),2))</f>
        <v/>
      </c>
      <c r="AM230" s="23">
        <f>IF($X230="","",$X230-$AL230)</f>
        <v/>
      </c>
      <c r="AN230" s="23">
        <f>IF(OR($AH230="",$Y230=""),"",N($AI230)-$Y230)</f>
        <v/>
      </c>
    </row>
    <row r="231">
      <c r="Q231" s="20" t="n"/>
      <c r="R231" s="20" t="n"/>
      <c r="S231" s="21" t="n"/>
      <c r="U231" s="21" t="n"/>
      <c r="V231" s="22" t="n"/>
      <c r="X231" s="23">
        <f>IF(OR($S231="",$R231=""),"",ROUND(MAX(0,IF($W231="Straight-line",IF(N($V231)&lt;=0,0,($S231-N($U231))*MIN($AJ231,$V231)/$V231),IF($W231="Reducing balance",MIN(($S231-N($U231)),$S231-$S231*(1-N($AG231))^INT($AJ231/12)*(1-N($AG231)*MOD($AJ231,12)/12)),IF($W231="DDB",IF(N($V231)&lt;=0,0,MIN(($S231-N($U231)),$S231-$S231*(1-MIN(1,24/$V231))^INT($AJ231/12)*(1-MIN(1,24/$V231)*MOD($AJ231,12)/12))),IF($W231="SYD",IF(N($V231)&lt;=0,0,($S231-N($U231))*(INT(MIN($AJ231,$V231)/12)*(2*($V231/12)-INT(MIN($AJ231,$V231)/12)+1)/2+MOD(MIN($AJ231,$V231),12)/12*(($V231/12)-INT(MIN($AJ231,$V231)/12)))/(($V231/12)*(($V231/12)+1)/2)),0))))),2))</f>
        <v/>
      </c>
      <c r="Y231" s="23">
        <f>IF($X231="","",$S231-$X231)</f>
        <v/>
      </c>
      <c r="AD231" s="20" t="n"/>
      <c r="AG231" s="24" t="n"/>
      <c r="AH231" s="20" t="n"/>
      <c r="AI231" s="21" t="n"/>
      <c r="AJ231" s="25">
        <f>IF($R231="","",IF($R231&gt;IF($AH231&lt;&gt;"",MIN($AH231,Settings!$B$3),Settings!$B$3),0,(YEAR(IF($AH231&lt;&gt;"",MIN($AH231,Settings!$B$3),Settings!$B$3))-YEAR($R231))*12+MONTH(IF($AH231&lt;&gt;"",MIN($AH231,Settings!$B$3),Settings!$B$3))-MONTH($R231)+1))</f>
        <v/>
      </c>
      <c r="AK231" s="25">
        <f>IF($R231="","",IF($R231&gt;MIN(Settings!$B$4-1,IF($AH231&lt;&gt;"",MIN($AH231,Settings!$B$3),Settings!$B$3)),0,(YEAR(MIN(Settings!$B$4-1,IF($AH231&lt;&gt;"",MIN($AH231,Settings!$B$3),Settings!$B$3)))-YEAR($R231))*12+MONTH(MIN(Settings!$B$4-1,IF($AH231&lt;&gt;"",MIN($AH231,Settings!$B$3),Settings!$B$3)))-MONTH($R231)+1))</f>
        <v/>
      </c>
      <c r="AL231" s="23">
        <f>IF(OR($S231="",$R231=""),"",ROUND(MAX(0,IF($W231="Straight-line",IF(N($V231)&lt;=0,0,($S231-N($U231))*MIN($AK231,$V231)/$V231),IF($W231="Reducing balance",MIN(($S231-N($U231)),$S231-$S231*(1-N($AG231))^INT($AK231/12)*(1-N($AG231)*MOD($AK231,12)/12)),IF($W231="DDB",IF(N($V231)&lt;=0,0,MIN(($S231-N($U231)),$S231-$S231*(1-MIN(1,24/$V231))^INT($AK231/12)*(1-MIN(1,24/$V231)*MOD($AK231,12)/12))),IF($W231="SYD",IF(N($V231)&lt;=0,0,($S231-N($U231))*(INT(MIN($AK231,$V231)/12)*(2*($V231/12)-INT(MIN($AK231,$V231)/12)+1)/2+MOD(MIN($AK231,$V231),12)/12*(($V231/12)-INT(MIN($AK231,$V231)/12)))/(($V231/12)*(($V231/12)+1)/2)),0))))),2))</f>
        <v/>
      </c>
      <c r="AM231" s="23">
        <f>IF($X231="","",$X231-$AL231)</f>
        <v/>
      </c>
      <c r="AN231" s="23">
        <f>IF(OR($AH231="",$Y231=""),"",N($AI231)-$Y231)</f>
        <v/>
      </c>
    </row>
    <row r="232">
      <c r="Q232" s="20" t="n"/>
      <c r="R232" s="20" t="n"/>
      <c r="S232" s="21" t="n"/>
      <c r="U232" s="21" t="n"/>
      <c r="V232" s="22" t="n"/>
      <c r="X232" s="23">
        <f>IF(OR($S232="",$R232=""),"",ROUND(MAX(0,IF($W232="Straight-line",IF(N($V232)&lt;=0,0,($S232-N($U232))*MIN($AJ232,$V232)/$V232),IF($W232="Reducing balance",MIN(($S232-N($U232)),$S232-$S232*(1-N($AG232))^INT($AJ232/12)*(1-N($AG232)*MOD($AJ232,12)/12)),IF($W232="DDB",IF(N($V232)&lt;=0,0,MIN(($S232-N($U232)),$S232-$S232*(1-MIN(1,24/$V232))^INT($AJ232/12)*(1-MIN(1,24/$V232)*MOD($AJ232,12)/12))),IF($W232="SYD",IF(N($V232)&lt;=0,0,($S232-N($U232))*(INT(MIN($AJ232,$V232)/12)*(2*($V232/12)-INT(MIN($AJ232,$V232)/12)+1)/2+MOD(MIN($AJ232,$V232),12)/12*(($V232/12)-INT(MIN($AJ232,$V232)/12)))/(($V232/12)*(($V232/12)+1)/2)),0))))),2))</f>
        <v/>
      </c>
      <c r="Y232" s="23">
        <f>IF($X232="","",$S232-$X232)</f>
        <v/>
      </c>
      <c r="AD232" s="20" t="n"/>
      <c r="AG232" s="24" t="n"/>
      <c r="AH232" s="20" t="n"/>
      <c r="AI232" s="21" t="n"/>
      <c r="AJ232" s="25">
        <f>IF($R232="","",IF($R232&gt;IF($AH232&lt;&gt;"",MIN($AH232,Settings!$B$3),Settings!$B$3),0,(YEAR(IF($AH232&lt;&gt;"",MIN($AH232,Settings!$B$3),Settings!$B$3))-YEAR($R232))*12+MONTH(IF($AH232&lt;&gt;"",MIN($AH232,Settings!$B$3),Settings!$B$3))-MONTH($R232)+1))</f>
        <v/>
      </c>
      <c r="AK232" s="25">
        <f>IF($R232="","",IF($R232&gt;MIN(Settings!$B$4-1,IF($AH232&lt;&gt;"",MIN($AH232,Settings!$B$3),Settings!$B$3)),0,(YEAR(MIN(Settings!$B$4-1,IF($AH232&lt;&gt;"",MIN($AH232,Settings!$B$3),Settings!$B$3)))-YEAR($R232))*12+MONTH(MIN(Settings!$B$4-1,IF($AH232&lt;&gt;"",MIN($AH232,Settings!$B$3),Settings!$B$3)))-MONTH($R232)+1))</f>
        <v/>
      </c>
      <c r="AL232" s="23">
        <f>IF(OR($S232="",$R232=""),"",ROUND(MAX(0,IF($W232="Straight-line",IF(N($V232)&lt;=0,0,($S232-N($U232))*MIN($AK232,$V232)/$V232),IF($W232="Reducing balance",MIN(($S232-N($U232)),$S232-$S232*(1-N($AG232))^INT($AK232/12)*(1-N($AG232)*MOD($AK232,12)/12)),IF($W232="DDB",IF(N($V232)&lt;=0,0,MIN(($S232-N($U232)),$S232-$S232*(1-MIN(1,24/$V232))^INT($AK232/12)*(1-MIN(1,24/$V232)*MOD($AK232,12)/12))),IF($W232="SYD",IF(N($V232)&lt;=0,0,($S232-N($U232))*(INT(MIN($AK232,$V232)/12)*(2*($V232/12)-INT(MIN($AK232,$V232)/12)+1)/2+MOD(MIN($AK232,$V232),12)/12*(($V232/12)-INT(MIN($AK232,$V232)/12)))/(($V232/12)*(($V232/12)+1)/2)),0))))),2))</f>
        <v/>
      </c>
      <c r="AM232" s="23">
        <f>IF($X232="","",$X232-$AL232)</f>
        <v/>
      </c>
      <c r="AN232" s="23">
        <f>IF(OR($AH232="",$Y232=""),"",N($AI232)-$Y232)</f>
        <v/>
      </c>
    </row>
    <row r="233">
      <c r="Q233" s="20" t="n"/>
      <c r="R233" s="20" t="n"/>
      <c r="S233" s="21" t="n"/>
      <c r="U233" s="21" t="n"/>
      <c r="V233" s="22" t="n"/>
      <c r="X233" s="23">
        <f>IF(OR($S233="",$R233=""),"",ROUND(MAX(0,IF($W233="Straight-line",IF(N($V233)&lt;=0,0,($S233-N($U233))*MIN($AJ233,$V233)/$V233),IF($W233="Reducing balance",MIN(($S233-N($U233)),$S233-$S233*(1-N($AG233))^INT($AJ233/12)*(1-N($AG233)*MOD($AJ233,12)/12)),IF($W233="DDB",IF(N($V233)&lt;=0,0,MIN(($S233-N($U233)),$S233-$S233*(1-MIN(1,24/$V233))^INT($AJ233/12)*(1-MIN(1,24/$V233)*MOD($AJ233,12)/12))),IF($W233="SYD",IF(N($V233)&lt;=0,0,($S233-N($U233))*(INT(MIN($AJ233,$V233)/12)*(2*($V233/12)-INT(MIN($AJ233,$V233)/12)+1)/2+MOD(MIN($AJ233,$V233),12)/12*(($V233/12)-INT(MIN($AJ233,$V233)/12)))/(($V233/12)*(($V233/12)+1)/2)),0))))),2))</f>
        <v/>
      </c>
      <c r="Y233" s="23">
        <f>IF($X233="","",$S233-$X233)</f>
        <v/>
      </c>
      <c r="AD233" s="20" t="n"/>
      <c r="AG233" s="24" t="n"/>
      <c r="AH233" s="20" t="n"/>
      <c r="AI233" s="21" t="n"/>
      <c r="AJ233" s="25">
        <f>IF($R233="","",IF($R233&gt;IF($AH233&lt;&gt;"",MIN($AH233,Settings!$B$3),Settings!$B$3),0,(YEAR(IF($AH233&lt;&gt;"",MIN($AH233,Settings!$B$3),Settings!$B$3))-YEAR($R233))*12+MONTH(IF($AH233&lt;&gt;"",MIN($AH233,Settings!$B$3),Settings!$B$3))-MONTH($R233)+1))</f>
        <v/>
      </c>
      <c r="AK233" s="25">
        <f>IF($R233="","",IF($R233&gt;MIN(Settings!$B$4-1,IF($AH233&lt;&gt;"",MIN($AH233,Settings!$B$3),Settings!$B$3)),0,(YEAR(MIN(Settings!$B$4-1,IF($AH233&lt;&gt;"",MIN($AH233,Settings!$B$3),Settings!$B$3)))-YEAR($R233))*12+MONTH(MIN(Settings!$B$4-1,IF($AH233&lt;&gt;"",MIN($AH233,Settings!$B$3),Settings!$B$3)))-MONTH($R233)+1))</f>
        <v/>
      </c>
      <c r="AL233" s="23">
        <f>IF(OR($S233="",$R233=""),"",ROUND(MAX(0,IF($W233="Straight-line",IF(N($V233)&lt;=0,0,($S233-N($U233))*MIN($AK233,$V233)/$V233),IF($W233="Reducing balance",MIN(($S233-N($U233)),$S233-$S233*(1-N($AG233))^INT($AK233/12)*(1-N($AG233)*MOD($AK233,12)/12)),IF($W233="DDB",IF(N($V233)&lt;=0,0,MIN(($S233-N($U233)),$S233-$S233*(1-MIN(1,24/$V233))^INT($AK233/12)*(1-MIN(1,24/$V233)*MOD($AK233,12)/12))),IF($W233="SYD",IF(N($V233)&lt;=0,0,($S233-N($U233))*(INT(MIN($AK233,$V233)/12)*(2*($V233/12)-INT(MIN($AK233,$V233)/12)+1)/2+MOD(MIN($AK233,$V233),12)/12*(($V233/12)-INT(MIN($AK233,$V233)/12)))/(($V233/12)*(($V233/12)+1)/2)),0))))),2))</f>
        <v/>
      </c>
      <c r="AM233" s="23">
        <f>IF($X233="","",$X233-$AL233)</f>
        <v/>
      </c>
      <c r="AN233" s="23">
        <f>IF(OR($AH233="",$Y233=""),"",N($AI233)-$Y233)</f>
        <v/>
      </c>
    </row>
    <row r="234">
      <c r="Q234" s="20" t="n"/>
      <c r="R234" s="20" t="n"/>
      <c r="S234" s="21" t="n"/>
      <c r="U234" s="21" t="n"/>
      <c r="V234" s="22" t="n"/>
      <c r="X234" s="23">
        <f>IF(OR($S234="",$R234=""),"",ROUND(MAX(0,IF($W234="Straight-line",IF(N($V234)&lt;=0,0,($S234-N($U234))*MIN($AJ234,$V234)/$V234),IF($W234="Reducing balance",MIN(($S234-N($U234)),$S234-$S234*(1-N($AG234))^INT($AJ234/12)*(1-N($AG234)*MOD($AJ234,12)/12)),IF($W234="DDB",IF(N($V234)&lt;=0,0,MIN(($S234-N($U234)),$S234-$S234*(1-MIN(1,24/$V234))^INT($AJ234/12)*(1-MIN(1,24/$V234)*MOD($AJ234,12)/12))),IF($W234="SYD",IF(N($V234)&lt;=0,0,($S234-N($U234))*(INT(MIN($AJ234,$V234)/12)*(2*($V234/12)-INT(MIN($AJ234,$V234)/12)+1)/2+MOD(MIN($AJ234,$V234),12)/12*(($V234/12)-INT(MIN($AJ234,$V234)/12)))/(($V234/12)*(($V234/12)+1)/2)),0))))),2))</f>
        <v/>
      </c>
      <c r="Y234" s="23">
        <f>IF($X234="","",$S234-$X234)</f>
        <v/>
      </c>
      <c r="AD234" s="20" t="n"/>
      <c r="AG234" s="24" t="n"/>
      <c r="AH234" s="20" t="n"/>
      <c r="AI234" s="21" t="n"/>
      <c r="AJ234" s="25">
        <f>IF($R234="","",IF($R234&gt;IF($AH234&lt;&gt;"",MIN($AH234,Settings!$B$3),Settings!$B$3),0,(YEAR(IF($AH234&lt;&gt;"",MIN($AH234,Settings!$B$3),Settings!$B$3))-YEAR($R234))*12+MONTH(IF($AH234&lt;&gt;"",MIN($AH234,Settings!$B$3),Settings!$B$3))-MONTH($R234)+1))</f>
        <v/>
      </c>
      <c r="AK234" s="25">
        <f>IF($R234="","",IF($R234&gt;MIN(Settings!$B$4-1,IF($AH234&lt;&gt;"",MIN($AH234,Settings!$B$3),Settings!$B$3)),0,(YEAR(MIN(Settings!$B$4-1,IF($AH234&lt;&gt;"",MIN($AH234,Settings!$B$3),Settings!$B$3)))-YEAR($R234))*12+MONTH(MIN(Settings!$B$4-1,IF($AH234&lt;&gt;"",MIN($AH234,Settings!$B$3),Settings!$B$3)))-MONTH($R234)+1))</f>
        <v/>
      </c>
      <c r="AL234" s="23">
        <f>IF(OR($S234="",$R234=""),"",ROUND(MAX(0,IF($W234="Straight-line",IF(N($V234)&lt;=0,0,($S234-N($U234))*MIN($AK234,$V234)/$V234),IF($W234="Reducing balance",MIN(($S234-N($U234)),$S234-$S234*(1-N($AG234))^INT($AK234/12)*(1-N($AG234)*MOD($AK234,12)/12)),IF($W234="DDB",IF(N($V234)&lt;=0,0,MIN(($S234-N($U234)),$S234-$S234*(1-MIN(1,24/$V234))^INT($AK234/12)*(1-MIN(1,24/$V234)*MOD($AK234,12)/12))),IF($W234="SYD",IF(N($V234)&lt;=0,0,($S234-N($U234))*(INT(MIN($AK234,$V234)/12)*(2*($V234/12)-INT(MIN($AK234,$V234)/12)+1)/2+MOD(MIN($AK234,$V234),12)/12*(($V234/12)-INT(MIN($AK234,$V234)/12)))/(($V234/12)*(($V234/12)+1)/2)),0))))),2))</f>
        <v/>
      </c>
      <c r="AM234" s="23">
        <f>IF($X234="","",$X234-$AL234)</f>
        <v/>
      </c>
      <c r="AN234" s="23">
        <f>IF(OR($AH234="",$Y234=""),"",N($AI234)-$Y234)</f>
        <v/>
      </c>
    </row>
    <row r="235">
      <c r="Q235" s="20" t="n"/>
      <c r="R235" s="20" t="n"/>
      <c r="S235" s="21" t="n"/>
      <c r="U235" s="21" t="n"/>
      <c r="V235" s="22" t="n"/>
      <c r="X235" s="23">
        <f>IF(OR($S235="",$R235=""),"",ROUND(MAX(0,IF($W235="Straight-line",IF(N($V235)&lt;=0,0,($S235-N($U235))*MIN($AJ235,$V235)/$V235),IF($W235="Reducing balance",MIN(($S235-N($U235)),$S235-$S235*(1-N($AG235))^INT($AJ235/12)*(1-N($AG235)*MOD($AJ235,12)/12)),IF($W235="DDB",IF(N($V235)&lt;=0,0,MIN(($S235-N($U235)),$S235-$S235*(1-MIN(1,24/$V235))^INT($AJ235/12)*(1-MIN(1,24/$V235)*MOD($AJ235,12)/12))),IF($W235="SYD",IF(N($V235)&lt;=0,0,($S235-N($U235))*(INT(MIN($AJ235,$V235)/12)*(2*($V235/12)-INT(MIN($AJ235,$V235)/12)+1)/2+MOD(MIN($AJ235,$V235),12)/12*(($V235/12)-INT(MIN($AJ235,$V235)/12)))/(($V235/12)*(($V235/12)+1)/2)),0))))),2))</f>
        <v/>
      </c>
      <c r="Y235" s="23">
        <f>IF($X235="","",$S235-$X235)</f>
        <v/>
      </c>
      <c r="AD235" s="20" t="n"/>
      <c r="AG235" s="24" t="n"/>
      <c r="AH235" s="20" t="n"/>
      <c r="AI235" s="21" t="n"/>
      <c r="AJ235" s="25">
        <f>IF($R235="","",IF($R235&gt;IF($AH235&lt;&gt;"",MIN($AH235,Settings!$B$3),Settings!$B$3),0,(YEAR(IF($AH235&lt;&gt;"",MIN($AH235,Settings!$B$3),Settings!$B$3))-YEAR($R235))*12+MONTH(IF($AH235&lt;&gt;"",MIN($AH235,Settings!$B$3),Settings!$B$3))-MONTH($R235)+1))</f>
        <v/>
      </c>
      <c r="AK235" s="25">
        <f>IF($R235="","",IF($R235&gt;MIN(Settings!$B$4-1,IF($AH235&lt;&gt;"",MIN($AH235,Settings!$B$3),Settings!$B$3)),0,(YEAR(MIN(Settings!$B$4-1,IF($AH235&lt;&gt;"",MIN($AH235,Settings!$B$3),Settings!$B$3)))-YEAR($R235))*12+MONTH(MIN(Settings!$B$4-1,IF($AH235&lt;&gt;"",MIN($AH235,Settings!$B$3),Settings!$B$3)))-MONTH($R235)+1))</f>
        <v/>
      </c>
      <c r="AL235" s="23">
        <f>IF(OR($S235="",$R235=""),"",ROUND(MAX(0,IF($W235="Straight-line",IF(N($V235)&lt;=0,0,($S235-N($U235))*MIN($AK235,$V235)/$V235),IF($W235="Reducing balance",MIN(($S235-N($U235)),$S235-$S235*(1-N($AG235))^INT($AK235/12)*(1-N($AG235)*MOD($AK235,12)/12)),IF($W235="DDB",IF(N($V235)&lt;=0,0,MIN(($S235-N($U235)),$S235-$S235*(1-MIN(1,24/$V235))^INT($AK235/12)*(1-MIN(1,24/$V235)*MOD($AK235,12)/12))),IF($W235="SYD",IF(N($V235)&lt;=0,0,($S235-N($U235))*(INT(MIN($AK235,$V235)/12)*(2*($V235/12)-INT(MIN($AK235,$V235)/12)+1)/2+MOD(MIN($AK235,$V235),12)/12*(($V235/12)-INT(MIN($AK235,$V235)/12)))/(($V235/12)*(($V235/12)+1)/2)),0))))),2))</f>
        <v/>
      </c>
      <c r="AM235" s="23">
        <f>IF($X235="","",$X235-$AL235)</f>
        <v/>
      </c>
      <c r="AN235" s="23">
        <f>IF(OR($AH235="",$Y235=""),"",N($AI235)-$Y235)</f>
        <v/>
      </c>
    </row>
    <row r="236">
      <c r="Q236" s="20" t="n"/>
      <c r="R236" s="20" t="n"/>
      <c r="S236" s="21" t="n"/>
      <c r="U236" s="21" t="n"/>
      <c r="V236" s="22" t="n"/>
      <c r="X236" s="23">
        <f>IF(OR($S236="",$R236=""),"",ROUND(MAX(0,IF($W236="Straight-line",IF(N($V236)&lt;=0,0,($S236-N($U236))*MIN($AJ236,$V236)/$V236),IF($W236="Reducing balance",MIN(($S236-N($U236)),$S236-$S236*(1-N($AG236))^INT($AJ236/12)*(1-N($AG236)*MOD($AJ236,12)/12)),IF($W236="DDB",IF(N($V236)&lt;=0,0,MIN(($S236-N($U236)),$S236-$S236*(1-MIN(1,24/$V236))^INT($AJ236/12)*(1-MIN(1,24/$V236)*MOD($AJ236,12)/12))),IF($W236="SYD",IF(N($V236)&lt;=0,0,($S236-N($U236))*(INT(MIN($AJ236,$V236)/12)*(2*($V236/12)-INT(MIN($AJ236,$V236)/12)+1)/2+MOD(MIN($AJ236,$V236),12)/12*(($V236/12)-INT(MIN($AJ236,$V236)/12)))/(($V236/12)*(($V236/12)+1)/2)),0))))),2))</f>
        <v/>
      </c>
      <c r="Y236" s="23">
        <f>IF($X236="","",$S236-$X236)</f>
        <v/>
      </c>
      <c r="AD236" s="20" t="n"/>
      <c r="AG236" s="24" t="n"/>
      <c r="AH236" s="20" t="n"/>
      <c r="AI236" s="21" t="n"/>
      <c r="AJ236" s="25">
        <f>IF($R236="","",IF($R236&gt;IF($AH236&lt;&gt;"",MIN($AH236,Settings!$B$3),Settings!$B$3),0,(YEAR(IF($AH236&lt;&gt;"",MIN($AH236,Settings!$B$3),Settings!$B$3))-YEAR($R236))*12+MONTH(IF($AH236&lt;&gt;"",MIN($AH236,Settings!$B$3),Settings!$B$3))-MONTH($R236)+1))</f>
        <v/>
      </c>
      <c r="AK236" s="25">
        <f>IF($R236="","",IF($R236&gt;MIN(Settings!$B$4-1,IF($AH236&lt;&gt;"",MIN($AH236,Settings!$B$3),Settings!$B$3)),0,(YEAR(MIN(Settings!$B$4-1,IF($AH236&lt;&gt;"",MIN($AH236,Settings!$B$3),Settings!$B$3)))-YEAR($R236))*12+MONTH(MIN(Settings!$B$4-1,IF($AH236&lt;&gt;"",MIN($AH236,Settings!$B$3),Settings!$B$3)))-MONTH($R236)+1))</f>
        <v/>
      </c>
      <c r="AL236" s="23">
        <f>IF(OR($S236="",$R236=""),"",ROUND(MAX(0,IF($W236="Straight-line",IF(N($V236)&lt;=0,0,($S236-N($U236))*MIN($AK236,$V236)/$V236),IF($W236="Reducing balance",MIN(($S236-N($U236)),$S236-$S236*(1-N($AG236))^INT($AK236/12)*(1-N($AG236)*MOD($AK236,12)/12)),IF($W236="DDB",IF(N($V236)&lt;=0,0,MIN(($S236-N($U236)),$S236-$S236*(1-MIN(1,24/$V236))^INT($AK236/12)*(1-MIN(1,24/$V236)*MOD($AK236,12)/12))),IF($W236="SYD",IF(N($V236)&lt;=0,0,($S236-N($U236))*(INT(MIN($AK236,$V236)/12)*(2*($V236/12)-INT(MIN($AK236,$V236)/12)+1)/2+MOD(MIN($AK236,$V236),12)/12*(($V236/12)-INT(MIN($AK236,$V236)/12)))/(($V236/12)*(($V236/12)+1)/2)),0))))),2))</f>
        <v/>
      </c>
      <c r="AM236" s="23">
        <f>IF($X236="","",$X236-$AL236)</f>
        <v/>
      </c>
      <c r="AN236" s="23">
        <f>IF(OR($AH236="",$Y236=""),"",N($AI236)-$Y236)</f>
        <v/>
      </c>
    </row>
    <row r="237">
      <c r="Q237" s="20" t="n"/>
      <c r="R237" s="20" t="n"/>
      <c r="S237" s="21" t="n"/>
      <c r="U237" s="21" t="n"/>
      <c r="V237" s="22" t="n"/>
      <c r="X237" s="23">
        <f>IF(OR($S237="",$R237=""),"",ROUND(MAX(0,IF($W237="Straight-line",IF(N($V237)&lt;=0,0,($S237-N($U237))*MIN($AJ237,$V237)/$V237),IF($W237="Reducing balance",MIN(($S237-N($U237)),$S237-$S237*(1-N($AG237))^INT($AJ237/12)*(1-N($AG237)*MOD($AJ237,12)/12)),IF($W237="DDB",IF(N($V237)&lt;=0,0,MIN(($S237-N($U237)),$S237-$S237*(1-MIN(1,24/$V237))^INT($AJ237/12)*(1-MIN(1,24/$V237)*MOD($AJ237,12)/12))),IF($W237="SYD",IF(N($V237)&lt;=0,0,($S237-N($U237))*(INT(MIN($AJ237,$V237)/12)*(2*($V237/12)-INT(MIN($AJ237,$V237)/12)+1)/2+MOD(MIN($AJ237,$V237),12)/12*(($V237/12)-INT(MIN($AJ237,$V237)/12)))/(($V237/12)*(($V237/12)+1)/2)),0))))),2))</f>
        <v/>
      </c>
      <c r="Y237" s="23">
        <f>IF($X237="","",$S237-$X237)</f>
        <v/>
      </c>
      <c r="AD237" s="20" t="n"/>
      <c r="AG237" s="24" t="n"/>
      <c r="AH237" s="20" t="n"/>
      <c r="AI237" s="21" t="n"/>
      <c r="AJ237" s="25">
        <f>IF($R237="","",IF($R237&gt;IF($AH237&lt;&gt;"",MIN($AH237,Settings!$B$3),Settings!$B$3),0,(YEAR(IF($AH237&lt;&gt;"",MIN($AH237,Settings!$B$3),Settings!$B$3))-YEAR($R237))*12+MONTH(IF($AH237&lt;&gt;"",MIN($AH237,Settings!$B$3),Settings!$B$3))-MONTH($R237)+1))</f>
        <v/>
      </c>
      <c r="AK237" s="25">
        <f>IF($R237="","",IF($R237&gt;MIN(Settings!$B$4-1,IF($AH237&lt;&gt;"",MIN($AH237,Settings!$B$3),Settings!$B$3)),0,(YEAR(MIN(Settings!$B$4-1,IF($AH237&lt;&gt;"",MIN($AH237,Settings!$B$3),Settings!$B$3)))-YEAR($R237))*12+MONTH(MIN(Settings!$B$4-1,IF($AH237&lt;&gt;"",MIN($AH237,Settings!$B$3),Settings!$B$3)))-MONTH($R237)+1))</f>
        <v/>
      </c>
      <c r="AL237" s="23">
        <f>IF(OR($S237="",$R237=""),"",ROUND(MAX(0,IF($W237="Straight-line",IF(N($V237)&lt;=0,0,($S237-N($U237))*MIN($AK237,$V237)/$V237),IF($W237="Reducing balance",MIN(($S237-N($U237)),$S237-$S237*(1-N($AG237))^INT($AK237/12)*(1-N($AG237)*MOD($AK237,12)/12)),IF($W237="DDB",IF(N($V237)&lt;=0,0,MIN(($S237-N($U237)),$S237-$S237*(1-MIN(1,24/$V237))^INT($AK237/12)*(1-MIN(1,24/$V237)*MOD($AK237,12)/12))),IF($W237="SYD",IF(N($V237)&lt;=0,0,($S237-N($U237))*(INT(MIN($AK237,$V237)/12)*(2*($V237/12)-INT(MIN($AK237,$V237)/12)+1)/2+MOD(MIN($AK237,$V237),12)/12*(($V237/12)-INT(MIN($AK237,$V237)/12)))/(($V237/12)*(($V237/12)+1)/2)),0))))),2))</f>
        <v/>
      </c>
      <c r="AM237" s="23">
        <f>IF($X237="","",$X237-$AL237)</f>
        <v/>
      </c>
      <c r="AN237" s="23">
        <f>IF(OR($AH237="",$Y237=""),"",N($AI237)-$Y237)</f>
        <v/>
      </c>
    </row>
    <row r="238">
      <c r="Q238" s="20" t="n"/>
      <c r="R238" s="20" t="n"/>
      <c r="S238" s="21" t="n"/>
      <c r="U238" s="21" t="n"/>
      <c r="V238" s="22" t="n"/>
      <c r="X238" s="23">
        <f>IF(OR($S238="",$R238=""),"",ROUND(MAX(0,IF($W238="Straight-line",IF(N($V238)&lt;=0,0,($S238-N($U238))*MIN($AJ238,$V238)/$V238),IF($W238="Reducing balance",MIN(($S238-N($U238)),$S238-$S238*(1-N($AG238))^INT($AJ238/12)*(1-N($AG238)*MOD($AJ238,12)/12)),IF($W238="DDB",IF(N($V238)&lt;=0,0,MIN(($S238-N($U238)),$S238-$S238*(1-MIN(1,24/$V238))^INT($AJ238/12)*(1-MIN(1,24/$V238)*MOD($AJ238,12)/12))),IF($W238="SYD",IF(N($V238)&lt;=0,0,($S238-N($U238))*(INT(MIN($AJ238,$V238)/12)*(2*($V238/12)-INT(MIN($AJ238,$V238)/12)+1)/2+MOD(MIN($AJ238,$V238),12)/12*(($V238/12)-INT(MIN($AJ238,$V238)/12)))/(($V238/12)*(($V238/12)+1)/2)),0))))),2))</f>
        <v/>
      </c>
      <c r="Y238" s="23">
        <f>IF($X238="","",$S238-$X238)</f>
        <v/>
      </c>
      <c r="AD238" s="20" t="n"/>
      <c r="AG238" s="24" t="n"/>
      <c r="AH238" s="20" t="n"/>
      <c r="AI238" s="21" t="n"/>
      <c r="AJ238" s="25">
        <f>IF($R238="","",IF($R238&gt;IF($AH238&lt;&gt;"",MIN($AH238,Settings!$B$3),Settings!$B$3),0,(YEAR(IF($AH238&lt;&gt;"",MIN($AH238,Settings!$B$3),Settings!$B$3))-YEAR($R238))*12+MONTH(IF($AH238&lt;&gt;"",MIN($AH238,Settings!$B$3),Settings!$B$3))-MONTH($R238)+1))</f>
        <v/>
      </c>
      <c r="AK238" s="25">
        <f>IF($R238="","",IF($R238&gt;MIN(Settings!$B$4-1,IF($AH238&lt;&gt;"",MIN($AH238,Settings!$B$3),Settings!$B$3)),0,(YEAR(MIN(Settings!$B$4-1,IF($AH238&lt;&gt;"",MIN($AH238,Settings!$B$3),Settings!$B$3)))-YEAR($R238))*12+MONTH(MIN(Settings!$B$4-1,IF($AH238&lt;&gt;"",MIN($AH238,Settings!$B$3),Settings!$B$3)))-MONTH($R238)+1))</f>
        <v/>
      </c>
      <c r="AL238" s="23">
        <f>IF(OR($S238="",$R238=""),"",ROUND(MAX(0,IF($W238="Straight-line",IF(N($V238)&lt;=0,0,($S238-N($U238))*MIN($AK238,$V238)/$V238),IF($W238="Reducing balance",MIN(($S238-N($U238)),$S238-$S238*(1-N($AG238))^INT($AK238/12)*(1-N($AG238)*MOD($AK238,12)/12)),IF($W238="DDB",IF(N($V238)&lt;=0,0,MIN(($S238-N($U238)),$S238-$S238*(1-MIN(1,24/$V238))^INT($AK238/12)*(1-MIN(1,24/$V238)*MOD($AK238,12)/12))),IF($W238="SYD",IF(N($V238)&lt;=0,0,($S238-N($U238))*(INT(MIN($AK238,$V238)/12)*(2*($V238/12)-INT(MIN($AK238,$V238)/12)+1)/2+MOD(MIN($AK238,$V238),12)/12*(($V238/12)-INT(MIN($AK238,$V238)/12)))/(($V238/12)*(($V238/12)+1)/2)),0))))),2))</f>
        <v/>
      </c>
      <c r="AM238" s="23">
        <f>IF($X238="","",$X238-$AL238)</f>
        <v/>
      </c>
      <c r="AN238" s="23">
        <f>IF(OR($AH238="",$Y238=""),"",N($AI238)-$Y238)</f>
        <v/>
      </c>
    </row>
    <row r="239">
      <c r="Q239" s="20" t="n"/>
      <c r="R239" s="20" t="n"/>
      <c r="S239" s="21" t="n"/>
      <c r="U239" s="21" t="n"/>
      <c r="V239" s="22" t="n"/>
      <c r="X239" s="23">
        <f>IF(OR($S239="",$R239=""),"",ROUND(MAX(0,IF($W239="Straight-line",IF(N($V239)&lt;=0,0,($S239-N($U239))*MIN($AJ239,$V239)/$V239),IF($W239="Reducing balance",MIN(($S239-N($U239)),$S239-$S239*(1-N($AG239))^INT($AJ239/12)*(1-N($AG239)*MOD($AJ239,12)/12)),IF($W239="DDB",IF(N($V239)&lt;=0,0,MIN(($S239-N($U239)),$S239-$S239*(1-MIN(1,24/$V239))^INT($AJ239/12)*(1-MIN(1,24/$V239)*MOD($AJ239,12)/12))),IF($W239="SYD",IF(N($V239)&lt;=0,0,($S239-N($U239))*(INT(MIN($AJ239,$V239)/12)*(2*($V239/12)-INT(MIN($AJ239,$V239)/12)+1)/2+MOD(MIN($AJ239,$V239),12)/12*(($V239/12)-INT(MIN($AJ239,$V239)/12)))/(($V239/12)*(($V239/12)+1)/2)),0))))),2))</f>
        <v/>
      </c>
      <c r="Y239" s="23">
        <f>IF($X239="","",$S239-$X239)</f>
        <v/>
      </c>
      <c r="AD239" s="20" t="n"/>
      <c r="AG239" s="24" t="n"/>
      <c r="AH239" s="20" t="n"/>
      <c r="AI239" s="21" t="n"/>
      <c r="AJ239" s="25">
        <f>IF($R239="","",IF($R239&gt;IF($AH239&lt;&gt;"",MIN($AH239,Settings!$B$3),Settings!$B$3),0,(YEAR(IF($AH239&lt;&gt;"",MIN($AH239,Settings!$B$3),Settings!$B$3))-YEAR($R239))*12+MONTH(IF($AH239&lt;&gt;"",MIN($AH239,Settings!$B$3),Settings!$B$3))-MONTH($R239)+1))</f>
        <v/>
      </c>
      <c r="AK239" s="25">
        <f>IF($R239="","",IF($R239&gt;MIN(Settings!$B$4-1,IF($AH239&lt;&gt;"",MIN($AH239,Settings!$B$3),Settings!$B$3)),0,(YEAR(MIN(Settings!$B$4-1,IF($AH239&lt;&gt;"",MIN($AH239,Settings!$B$3),Settings!$B$3)))-YEAR($R239))*12+MONTH(MIN(Settings!$B$4-1,IF($AH239&lt;&gt;"",MIN($AH239,Settings!$B$3),Settings!$B$3)))-MONTH($R239)+1))</f>
        <v/>
      </c>
      <c r="AL239" s="23">
        <f>IF(OR($S239="",$R239=""),"",ROUND(MAX(0,IF($W239="Straight-line",IF(N($V239)&lt;=0,0,($S239-N($U239))*MIN($AK239,$V239)/$V239),IF($W239="Reducing balance",MIN(($S239-N($U239)),$S239-$S239*(1-N($AG239))^INT($AK239/12)*(1-N($AG239)*MOD($AK239,12)/12)),IF($W239="DDB",IF(N($V239)&lt;=0,0,MIN(($S239-N($U239)),$S239-$S239*(1-MIN(1,24/$V239))^INT($AK239/12)*(1-MIN(1,24/$V239)*MOD($AK239,12)/12))),IF($W239="SYD",IF(N($V239)&lt;=0,0,($S239-N($U239))*(INT(MIN($AK239,$V239)/12)*(2*($V239/12)-INT(MIN($AK239,$V239)/12)+1)/2+MOD(MIN($AK239,$V239),12)/12*(($V239/12)-INT(MIN($AK239,$V239)/12)))/(($V239/12)*(($V239/12)+1)/2)),0))))),2))</f>
        <v/>
      </c>
      <c r="AM239" s="23">
        <f>IF($X239="","",$X239-$AL239)</f>
        <v/>
      </c>
      <c r="AN239" s="23">
        <f>IF(OR($AH239="",$Y239=""),"",N($AI239)-$Y239)</f>
        <v/>
      </c>
    </row>
    <row r="240">
      <c r="Q240" s="20" t="n"/>
      <c r="R240" s="20" t="n"/>
      <c r="S240" s="21" t="n"/>
      <c r="U240" s="21" t="n"/>
      <c r="V240" s="22" t="n"/>
      <c r="X240" s="23">
        <f>IF(OR($S240="",$R240=""),"",ROUND(MAX(0,IF($W240="Straight-line",IF(N($V240)&lt;=0,0,($S240-N($U240))*MIN($AJ240,$V240)/$V240),IF($W240="Reducing balance",MIN(($S240-N($U240)),$S240-$S240*(1-N($AG240))^INT($AJ240/12)*(1-N($AG240)*MOD($AJ240,12)/12)),IF($W240="DDB",IF(N($V240)&lt;=0,0,MIN(($S240-N($U240)),$S240-$S240*(1-MIN(1,24/$V240))^INT($AJ240/12)*(1-MIN(1,24/$V240)*MOD($AJ240,12)/12))),IF($W240="SYD",IF(N($V240)&lt;=0,0,($S240-N($U240))*(INT(MIN($AJ240,$V240)/12)*(2*($V240/12)-INT(MIN($AJ240,$V240)/12)+1)/2+MOD(MIN($AJ240,$V240),12)/12*(($V240/12)-INT(MIN($AJ240,$V240)/12)))/(($V240/12)*(($V240/12)+1)/2)),0))))),2))</f>
        <v/>
      </c>
      <c r="Y240" s="23">
        <f>IF($X240="","",$S240-$X240)</f>
        <v/>
      </c>
      <c r="AD240" s="20" t="n"/>
      <c r="AG240" s="24" t="n"/>
      <c r="AH240" s="20" t="n"/>
      <c r="AI240" s="21" t="n"/>
      <c r="AJ240" s="25">
        <f>IF($R240="","",IF($R240&gt;IF($AH240&lt;&gt;"",MIN($AH240,Settings!$B$3),Settings!$B$3),0,(YEAR(IF($AH240&lt;&gt;"",MIN($AH240,Settings!$B$3),Settings!$B$3))-YEAR($R240))*12+MONTH(IF($AH240&lt;&gt;"",MIN($AH240,Settings!$B$3),Settings!$B$3))-MONTH($R240)+1))</f>
        <v/>
      </c>
      <c r="AK240" s="25">
        <f>IF($R240="","",IF($R240&gt;MIN(Settings!$B$4-1,IF($AH240&lt;&gt;"",MIN($AH240,Settings!$B$3),Settings!$B$3)),0,(YEAR(MIN(Settings!$B$4-1,IF($AH240&lt;&gt;"",MIN($AH240,Settings!$B$3),Settings!$B$3)))-YEAR($R240))*12+MONTH(MIN(Settings!$B$4-1,IF($AH240&lt;&gt;"",MIN($AH240,Settings!$B$3),Settings!$B$3)))-MONTH($R240)+1))</f>
        <v/>
      </c>
      <c r="AL240" s="23">
        <f>IF(OR($S240="",$R240=""),"",ROUND(MAX(0,IF($W240="Straight-line",IF(N($V240)&lt;=0,0,($S240-N($U240))*MIN($AK240,$V240)/$V240),IF($W240="Reducing balance",MIN(($S240-N($U240)),$S240-$S240*(1-N($AG240))^INT($AK240/12)*(1-N($AG240)*MOD($AK240,12)/12)),IF($W240="DDB",IF(N($V240)&lt;=0,0,MIN(($S240-N($U240)),$S240-$S240*(1-MIN(1,24/$V240))^INT($AK240/12)*(1-MIN(1,24/$V240)*MOD($AK240,12)/12))),IF($W240="SYD",IF(N($V240)&lt;=0,0,($S240-N($U240))*(INT(MIN($AK240,$V240)/12)*(2*($V240/12)-INT(MIN($AK240,$V240)/12)+1)/2+MOD(MIN($AK240,$V240),12)/12*(($V240/12)-INT(MIN($AK240,$V240)/12)))/(($V240/12)*(($V240/12)+1)/2)),0))))),2))</f>
        <v/>
      </c>
      <c r="AM240" s="23">
        <f>IF($X240="","",$X240-$AL240)</f>
        <v/>
      </c>
      <c r="AN240" s="23">
        <f>IF(OR($AH240="",$Y240=""),"",N($AI240)-$Y240)</f>
        <v/>
      </c>
    </row>
    <row r="241">
      <c r="Q241" s="20" t="n"/>
      <c r="R241" s="20" t="n"/>
      <c r="S241" s="21" t="n"/>
      <c r="U241" s="21" t="n"/>
      <c r="V241" s="22" t="n"/>
      <c r="X241" s="23">
        <f>IF(OR($S241="",$R241=""),"",ROUND(MAX(0,IF($W241="Straight-line",IF(N($V241)&lt;=0,0,($S241-N($U241))*MIN($AJ241,$V241)/$V241),IF($W241="Reducing balance",MIN(($S241-N($U241)),$S241-$S241*(1-N($AG241))^INT($AJ241/12)*(1-N($AG241)*MOD($AJ241,12)/12)),IF($W241="DDB",IF(N($V241)&lt;=0,0,MIN(($S241-N($U241)),$S241-$S241*(1-MIN(1,24/$V241))^INT($AJ241/12)*(1-MIN(1,24/$V241)*MOD($AJ241,12)/12))),IF($W241="SYD",IF(N($V241)&lt;=0,0,($S241-N($U241))*(INT(MIN($AJ241,$V241)/12)*(2*($V241/12)-INT(MIN($AJ241,$V241)/12)+1)/2+MOD(MIN($AJ241,$V241),12)/12*(($V241/12)-INT(MIN($AJ241,$V241)/12)))/(($V241/12)*(($V241/12)+1)/2)),0))))),2))</f>
        <v/>
      </c>
      <c r="Y241" s="23">
        <f>IF($X241="","",$S241-$X241)</f>
        <v/>
      </c>
      <c r="AD241" s="20" t="n"/>
      <c r="AG241" s="24" t="n"/>
      <c r="AH241" s="20" t="n"/>
      <c r="AI241" s="21" t="n"/>
      <c r="AJ241" s="25">
        <f>IF($R241="","",IF($R241&gt;IF($AH241&lt;&gt;"",MIN($AH241,Settings!$B$3),Settings!$B$3),0,(YEAR(IF($AH241&lt;&gt;"",MIN($AH241,Settings!$B$3),Settings!$B$3))-YEAR($R241))*12+MONTH(IF($AH241&lt;&gt;"",MIN($AH241,Settings!$B$3),Settings!$B$3))-MONTH($R241)+1))</f>
        <v/>
      </c>
      <c r="AK241" s="25">
        <f>IF($R241="","",IF($R241&gt;MIN(Settings!$B$4-1,IF($AH241&lt;&gt;"",MIN($AH241,Settings!$B$3),Settings!$B$3)),0,(YEAR(MIN(Settings!$B$4-1,IF($AH241&lt;&gt;"",MIN($AH241,Settings!$B$3),Settings!$B$3)))-YEAR($R241))*12+MONTH(MIN(Settings!$B$4-1,IF($AH241&lt;&gt;"",MIN($AH241,Settings!$B$3),Settings!$B$3)))-MONTH($R241)+1))</f>
        <v/>
      </c>
      <c r="AL241" s="23">
        <f>IF(OR($S241="",$R241=""),"",ROUND(MAX(0,IF($W241="Straight-line",IF(N($V241)&lt;=0,0,($S241-N($U241))*MIN($AK241,$V241)/$V241),IF($W241="Reducing balance",MIN(($S241-N($U241)),$S241-$S241*(1-N($AG241))^INT($AK241/12)*(1-N($AG241)*MOD($AK241,12)/12)),IF($W241="DDB",IF(N($V241)&lt;=0,0,MIN(($S241-N($U241)),$S241-$S241*(1-MIN(1,24/$V241))^INT($AK241/12)*(1-MIN(1,24/$V241)*MOD($AK241,12)/12))),IF($W241="SYD",IF(N($V241)&lt;=0,0,($S241-N($U241))*(INT(MIN($AK241,$V241)/12)*(2*($V241/12)-INT(MIN($AK241,$V241)/12)+1)/2+MOD(MIN($AK241,$V241),12)/12*(($V241/12)-INT(MIN($AK241,$V241)/12)))/(($V241/12)*(($V241/12)+1)/2)),0))))),2))</f>
        <v/>
      </c>
      <c r="AM241" s="23">
        <f>IF($X241="","",$X241-$AL241)</f>
        <v/>
      </c>
      <c r="AN241" s="23">
        <f>IF(OR($AH241="",$Y241=""),"",N($AI241)-$Y241)</f>
        <v/>
      </c>
    </row>
    <row r="242">
      <c r="Q242" s="20" t="n"/>
      <c r="R242" s="20" t="n"/>
      <c r="S242" s="21" t="n"/>
      <c r="U242" s="21" t="n"/>
      <c r="V242" s="22" t="n"/>
      <c r="X242" s="23">
        <f>IF(OR($S242="",$R242=""),"",ROUND(MAX(0,IF($W242="Straight-line",IF(N($V242)&lt;=0,0,($S242-N($U242))*MIN($AJ242,$V242)/$V242),IF($W242="Reducing balance",MIN(($S242-N($U242)),$S242-$S242*(1-N($AG242))^INT($AJ242/12)*(1-N($AG242)*MOD($AJ242,12)/12)),IF($W242="DDB",IF(N($V242)&lt;=0,0,MIN(($S242-N($U242)),$S242-$S242*(1-MIN(1,24/$V242))^INT($AJ242/12)*(1-MIN(1,24/$V242)*MOD($AJ242,12)/12))),IF($W242="SYD",IF(N($V242)&lt;=0,0,($S242-N($U242))*(INT(MIN($AJ242,$V242)/12)*(2*($V242/12)-INT(MIN($AJ242,$V242)/12)+1)/2+MOD(MIN($AJ242,$V242),12)/12*(($V242/12)-INT(MIN($AJ242,$V242)/12)))/(($V242/12)*(($V242/12)+1)/2)),0))))),2))</f>
        <v/>
      </c>
      <c r="Y242" s="23">
        <f>IF($X242="","",$S242-$X242)</f>
        <v/>
      </c>
      <c r="AD242" s="20" t="n"/>
      <c r="AG242" s="24" t="n"/>
      <c r="AH242" s="20" t="n"/>
      <c r="AI242" s="21" t="n"/>
      <c r="AJ242" s="25">
        <f>IF($R242="","",IF($R242&gt;IF($AH242&lt;&gt;"",MIN($AH242,Settings!$B$3),Settings!$B$3),0,(YEAR(IF($AH242&lt;&gt;"",MIN($AH242,Settings!$B$3),Settings!$B$3))-YEAR($R242))*12+MONTH(IF($AH242&lt;&gt;"",MIN($AH242,Settings!$B$3),Settings!$B$3))-MONTH($R242)+1))</f>
        <v/>
      </c>
      <c r="AK242" s="25">
        <f>IF($R242="","",IF($R242&gt;MIN(Settings!$B$4-1,IF($AH242&lt;&gt;"",MIN($AH242,Settings!$B$3),Settings!$B$3)),0,(YEAR(MIN(Settings!$B$4-1,IF($AH242&lt;&gt;"",MIN($AH242,Settings!$B$3),Settings!$B$3)))-YEAR($R242))*12+MONTH(MIN(Settings!$B$4-1,IF($AH242&lt;&gt;"",MIN($AH242,Settings!$B$3),Settings!$B$3)))-MONTH($R242)+1))</f>
        <v/>
      </c>
      <c r="AL242" s="23">
        <f>IF(OR($S242="",$R242=""),"",ROUND(MAX(0,IF($W242="Straight-line",IF(N($V242)&lt;=0,0,($S242-N($U242))*MIN($AK242,$V242)/$V242),IF($W242="Reducing balance",MIN(($S242-N($U242)),$S242-$S242*(1-N($AG242))^INT($AK242/12)*(1-N($AG242)*MOD($AK242,12)/12)),IF($W242="DDB",IF(N($V242)&lt;=0,0,MIN(($S242-N($U242)),$S242-$S242*(1-MIN(1,24/$V242))^INT($AK242/12)*(1-MIN(1,24/$V242)*MOD($AK242,12)/12))),IF($W242="SYD",IF(N($V242)&lt;=0,0,($S242-N($U242))*(INT(MIN($AK242,$V242)/12)*(2*($V242/12)-INT(MIN($AK242,$V242)/12)+1)/2+MOD(MIN($AK242,$V242),12)/12*(($V242/12)-INT(MIN($AK242,$V242)/12)))/(($V242/12)*(($V242/12)+1)/2)),0))))),2))</f>
        <v/>
      </c>
      <c r="AM242" s="23">
        <f>IF($X242="","",$X242-$AL242)</f>
        <v/>
      </c>
      <c r="AN242" s="23">
        <f>IF(OR($AH242="",$Y242=""),"",N($AI242)-$Y242)</f>
        <v/>
      </c>
    </row>
    <row r="243">
      <c r="Q243" s="20" t="n"/>
      <c r="R243" s="20" t="n"/>
      <c r="S243" s="21" t="n"/>
      <c r="U243" s="21" t="n"/>
      <c r="V243" s="22" t="n"/>
      <c r="X243" s="23">
        <f>IF(OR($S243="",$R243=""),"",ROUND(MAX(0,IF($W243="Straight-line",IF(N($V243)&lt;=0,0,($S243-N($U243))*MIN($AJ243,$V243)/$V243),IF($W243="Reducing balance",MIN(($S243-N($U243)),$S243-$S243*(1-N($AG243))^INT($AJ243/12)*(1-N($AG243)*MOD($AJ243,12)/12)),IF($W243="DDB",IF(N($V243)&lt;=0,0,MIN(($S243-N($U243)),$S243-$S243*(1-MIN(1,24/$V243))^INT($AJ243/12)*(1-MIN(1,24/$V243)*MOD($AJ243,12)/12))),IF($W243="SYD",IF(N($V243)&lt;=0,0,($S243-N($U243))*(INT(MIN($AJ243,$V243)/12)*(2*($V243/12)-INT(MIN($AJ243,$V243)/12)+1)/2+MOD(MIN($AJ243,$V243),12)/12*(($V243/12)-INT(MIN($AJ243,$V243)/12)))/(($V243/12)*(($V243/12)+1)/2)),0))))),2))</f>
        <v/>
      </c>
      <c r="Y243" s="23">
        <f>IF($X243="","",$S243-$X243)</f>
        <v/>
      </c>
      <c r="AD243" s="20" t="n"/>
      <c r="AG243" s="24" t="n"/>
      <c r="AH243" s="20" t="n"/>
      <c r="AI243" s="21" t="n"/>
      <c r="AJ243" s="25">
        <f>IF($R243="","",IF($R243&gt;IF($AH243&lt;&gt;"",MIN($AH243,Settings!$B$3),Settings!$B$3),0,(YEAR(IF($AH243&lt;&gt;"",MIN($AH243,Settings!$B$3),Settings!$B$3))-YEAR($R243))*12+MONTH(IF($AH243&lt;&gt;"",MIN($AH243,Settings!$B$3),Settings!$B$3))-MONTH($R243)+1))</f>
        <v/>
      </c>
      <c r="AK243" s="25">
        <f>IF($R243="","",IF($R243&gt;MIN(Settings!$B$4-1,IF($AH243&lt;&gt;"",MIN($AH243,Settings!$B$3),Settings!$B$3)),0,(YEAR(MIN(Settings!$B$4-1,IF($AH243&lt;&gt;"",MIN($AH243,Settings!$B$3),Settings!$B$3)))-YEAR($R243))*12+MONTH(MIN(Settings!$B$4-1,IF($AH243&lt;&gt;"",MIN($AH243,Settings!$B$3),Settings!$B$3)))-MONTH($R243)+1))</f>
        <v/>
      </c>
      <c r="AL243" s="23">
        <f>IF(OR($S243="",$R243=""),"",ROUND(MAX(0,IF($W243="Straight-line",IF(N($V243)&lt;=0,0,($S243-N($U243))*MIN($AK243,$V243)/$V243),IF($W243="Reducing balance",MIN(($S243-N($U243)),$S243-$S243*(1-N($AG243))^INT($AK243/12)*(1-N($AG243)*MOD($AK243,12)/12)),IF($W243="DDB",IF(N($V243)&lt;=0,0,MIN(($S243-N($U243)),$S243-$S243*(1-MIN(1,24/$V243))^INT($AK243/12)*(1-MIN(1,24/$V243)*MOD($AK243,12)/12))),IF($W243="SYD",IF(N($V243)&lt;=0,0,($S243-N($U243))*(INT(MIN($AK243,$V243)/12)*(2*($V243/12)-INT(MIN($AK243,$V243)/12)+1)/2+MOD(MIN($AK243,$V243),12)/12*(($V243/12)-INT(MIN($AK243,$V243)/12)))/(($V243/12)*(($V243/12)+1)/2)),0))))),2))</f>
        <v/>
      </c>
      <c r="AM243" s="23">
        <f>IF($X243="","",$X243-$AL243)</f>
        <v/>
      </c>
      <c r="AN243" s="23">
        <f>IF(OR($AH243="",$Y243=""),"",N($AI243)-$Y243)</f>
        <v/>
      </c>
    </row>
    <row r="244">
      <c r="Q244" s="20" t="n"/>
      <c r="R244" s="20" t="n"/>
      <c r="S244" s="21" t="n"/>
      <c r="U244" s="21" t="n"/>
      <c r="V244" s="22" t="n"/>
      <c r="X244" s="23">
        <f>IF(OR($S244="",$R244=""),"",ROUND(MAX(0,IF($W244="Straight-line",IF(N($V244)&lt;=0,0,($S244-N($U244))*MIN($AJ244,$V244)/$V244),IF($W244="Reducing balance",MIN(($S244-N($U244)),$S244-$S244*(1-N($AG244))^INT($AJ244/12)*(1-N($AG244)*MOD($AJ244,12)/12)),IF($W244="DDB",IF(N($V244)&lt;=0,0,MIN(($S244-N($U244)),$S244-$S244*(1-MIN(1,24/$V244))^INT($AJ244/12)*(1-MIN(1,24/$V244)*MOD($AJ244,12)/12))),IF($W244="SYD",IF(N($V244)&lt;=0,0,($S244-N($U244))*(INT(MIN($AJ244,$V244)/12)*(2*($V244/12)-INT(MIN($AJ244,$V244)/12)+1)/2+MOD(MIN($AJ244,$V244),12)/12*(($V244/12)-INT(MIN($AJ244,$V244)/12)))/(($V244/12)*(($V244/12)+1)/2)),0))))),2))</f>
        <v/>
      </c>
      <c r="Y244" s="23">
        <f>IF($X244="","",$S244-$X244)</f>
        <v/>
      </c>
      <c r="AD244" s="20" t="n"/>
      <c r="AG244" s="24" t="n"/>
      <c r="AH244" s="20" t="n"/>
      <c r="AI244" s="21" t="n"/>
      <c r="AJ244" s="25">
        <f>IF($R244="","",IF($R244&gt;IF($AH244&lt;&gt;"",MIN($AH244,Settings!$B$3),Settings!$B$3),0,(YEAR(IF($AH244&lt;&gt;"",MIN($AH244,Settings!$B$3),Settings!$B$3))-YEAR($R244))*12+MONTH(IF($AH244&lt;&gt;"",MIN($AH244,Settings!$B$3),Settings!$B$3))-MONTH($R244)+1))</f>
        <v/>
      </c>
      <c r="AK244" s="25">
        <f>IF($R244="","",IF($R244&gt;MIN(Settings!$B$4-1,IF($AH244&lt;&gt;"",MIN($AH244,Settings!$B$3),Settings!$B$3)),0,(YEAR(MIN(Settings!$B$4-1,IF($AH244&lt;&gt;"",MIN($AH244,Settings!$B$3),Settings!$B$3)))-YEAR($R244))*12+MONTH(MIN(Settings!$B$4-1,IF($AH244&lt;&gt;"",MIN($AH244,Settings!$B$3),Settings!$B$3)))-MONTH($R244)+1))</f>
        <v/>
      </c>
      <c r="AL244" s="23">
        <f>IF(OR($S244="",$R244=""),"",ROUND(MAX(0,IF($W244="Straight-line",IF(N($V244)&lt;=0,0,($S244-N($U244))*MIN($AK244,$V244)/$V244),IF($W244="Reducing balance",MIN(($S244-N($U244)),$S244-$S244*(1-N($AG244))^INT($AK244/12)*(1-N($AG244)*MOD($AK244,12)/12)),IF($W244="DDB",IF(N($V244)&lt;=0,0,MIN(($S244-N($U244)),$S244-$S244*(1-MIN(1,24/$V244))^INT($AK244/12)*(1-MIN(1,24/$V244)*MOD($AK244,12)/12))),IF($W244="SYD",IF(N($V244)&lt;=0,0,($S244-N($U244))*(INT(MIN($AK244,$V244)/12)*(2*($V244/12)-INT(MIN($AK244,$V244)/12)+1)/2+MOD(MIN($AK244,$V244),12)/12*(($V244/12)-INT(MIN($AK244,$V244)/12)))/(($V244/12)*(($V244/12)+1)/2)),0))))),2))</f>
        <v/>
      </c>
      <c r="AM244" s="23">
        <f>IF($X244="","",$X244-$AL244)</f>
        <v/>
      </c>
      <c r="AN244" s="23">
        <f>IF(OR($AH244="",$Y244=""),"",N($AI244)-$Y244)</f>
        <v/>
      </c>
    </row>
    <row r="245">
      <c r="Q245" s="20" t="n"/>
      <c r="R245" s="20" t="n"/>
      <c r="S245" s="21" t="n"/>
      <c r="U245" s="21" t="n"/>
      <c r="V245" s="22" t="n"/>
      <c r="X245" s="23">
        <f>IF(OR($S245="",$R245=""),"",ROUND(MAX(0,IF($W245="Straight-line",IF(N($V245)&lt;=0,0,($S245-N($U245))*MIN($AJ245,$V245)/$V245),IF($W245="Reducing balance",MIN(($S245-N($U245)),$S245-$S245*(1-N($AG245))^INT($AJ245/12)*(1-N($AG245)*MOD($AJ245,12)/12)),IF($W245="DDB",IF(N($V245)&lt;=0,0,MIN(($S245-N($U245)),$S245-$S245*(1-MIN(1,24/$V245))^INT($AJ245/12)*(1-MIN(1,24/$V245)*MOD($AJ245,12)/12))),IF($W245="SYD",IF(N($V245)&lt;=0,0,($S245-N($U245))*(INT(MIN($AJ245,$V245)/12)*(2*($V245/12)-INT(MIN($AJ245,$V245)/12)+1)/2+MOD(MIN($AJ245,$V245),12)/12*(($V245/12)-INT(MIN($AJ245,$V245)/12)))/(($V245/12)*(($V245/12)+1)/2)),0))))),2))</f>
        <v/>
      </c>
      <c r="Y245" s="23">
        <f>IF($X245="","",$S245-$X245)</f>
        <v/>
      </c>
      <c r="AD245" s="20" t="n"/>
      <c r="AG245" s="24" t="n"/>
      <c r="AH245" s="20" t="n"/>
      <c r="AI245" s="21" t="n"/>
      <c r="AJ245" s="25">
        <f>IF($R245="","",IF($R245&gt;IF($AH245&lt;&gt;"",MIN($AH245,Settings!$B$3),Settings!$B$3),0,(YEAR(IF($AH245&lt;&gt;"",MIN($AH245,Settings!$B$3),Settings!$B$3))-YEAR($R245))*12+MONTH(IF($AH245&lt;&gt;"",MIN($AH245,Settings!$B$3),Settings!$B$3))-MONTH($R245)+1))</f>
        <v/>
      </c>
      <c r="AK245" s="25">
        <f>IF($R245="","",IF($R245&gt;MIN(Settings!$B$4-1,IF($AH245&lt;&gt;"",MIN($AH245,Settings!$B$3),Settings!$B$3)),0,(YEAR(MIN(Settings!$B$4-1,IF($AH245&lt;&gt;"",MIN($AH245,Settings!$B$3),Settings!$B$3)))-YEAR($R245))*12+MONTH(MIN(Settings!$B$4-1,IF($AH245&lt;&gt;"",MIN($AH245,Settings!$B$3),Settings!$B$3)))-MONTH($R245)+1))</f>
        <v/>
      </c>
      <c r="AL245" s="23">
        <f>IF(OR($S245="",$R245=""),"",ROUND(MAX(0,IF($W245="Straight-line",IF(N($V245)&lt;=0,0,($S245-N($U245))*MIN($AK245,$V245)/$V245),IF($W245="Reducing balance",MIN(($S245-N($U245)),$S245-$S245*(1-N($AG245))^INT($AK245/12)*(1-N($AG245)*MOD($AK245,12)/12)),IF($W245="DDB",IF(N($V245)&lt;=0,0,MIN(($S245-N($U245)),$S245-$S245*(1-MIN(1,24/$V245))^INT($AK245/12)*(1-MIN(1,24/$V245)*MOD($AK245,12)/12))),IF($W245="SYD",IF(N($V245)&lt;=0,0,($S245-N($U245))*(INT(MIN($AK245,$V245)/12)*(2*($V245/12)-INT(MIN($AK245,$V245)/12)+1)/2+MOD(MIN($AK245,$V245),12)/12*(($V245/12)-INT(MIN($AK245,$V245)/12)))/(($V245/12)*(($V245/12)+1)/2)),0))))),2))</f>
        <v/>
      </c>
      <c r="AM245" s="23">
        <f>IF($X245="","",$X245-$AL245)</f>
        <v/>
      </c>
      <c r="AN245" s="23">
        <f>IF(OR($AH245="",$Y245=""),"",N($AI245)-$Y245)</f>
        <v/>
      </c>
    </row>
    <row r="246">
      <c r="Q246" s="20" t="n"/>
      <c r="R246" s="20" t="n"/>
      <c r="S246" s="21" t="n"/>
      <c r="U246" s="21" t="n"/>
      <c r="V246" s="22" t="n"/>
      <c r="X246" s="23">
        <f>IF(OR($S246="",$R246=""),"",ROUND(MAX(0,IF($W246="Straight-line",IF(N($V246)&lt;=0,0,($S246-N($U246))*MIN($AJ246,$V246)/$V246),IF($W246="Reducing balance",MIN(($S246-N($U246)),$S246-$S246*(1-N($AG246))^INT($AJ246/12)*(1-N($AG246)*MOD($AJ246,12)/12)),IF($W246="DDB",IF(N($V246)&lt;=0,0,MIN(($S246-N($U246)),$S246-$S246*(1-MIN(1,24/$V246))^INT($AJ246/12)*(1-MIN(1,24/$V246)*MOD($AJ246,12)/12))),IF($W246="SYD",IF(N($V246)&lt;=0,0,($S246-N($U246))*(INT(MIN($AJ246,$V246)/12)*(2*($V246/12)-INT(MIN($AJ246,$V246)/12)+1)/2+MOD(MIN($AJ246,$V246),12)/12*(($V246/12)-INT(MIN($AJ246,$V246)/12)))/(($V246/12)*(($V246/12)+1)/2)),0))))),2))</f>
        <v/>
      </c>
      <c r="Y246" s="23">
        <f>IF($X246="","",$S246-$X246)</f>
        <v/>
      </c>
      <c r="AD246" s="20" t="n"/>
      <c r="AG246" s="24" t="n"/>
      <c r="AH246" s="20" t="n"/>
      <c r="AI246" s="21" t="n"/>
      <c r="AJ246" s="25">
        <f>IF($R246="","",IF($R246&gt;IF($AH246&lt;&gt;"",MIN($AH246,Settings!$B$3),Settings!$B$3),0,(YEAR(IF($AH246&lt;&gt;"",MIN($AH246,Settings!$B$3),Settings!$B$3))-YEAR($R246))*12+MONTH(IF($AH246&lt;&gt;"",MIN($AH246,Settings!$B$3),Settings!$B$3))-MONTH($R246)+1))</f>
        <v/>
      </c>
      <c r="AK246" s="25">
        <f>IF($R246="","",IF($R246&gt;MIN(Settings!$B$4-1,IF($AH246&lt;&gt;"",MIN($AH246,Settings!$B$3),Settings!$B$3)),0,(YEAR(MIN(Settings!$B$4-1,IF($AH246&lt;&gt;"",MIN($AH246,Settings!$B$3),Settings!$B$3)))-YEAR($R246))*12+MONTH(MIN(Settings!$B$4-1,IF($AH246&lt;&gt;"",MIN($AH246,Settings!$B$3),Settings!$B$3)))-MONTH($R246)+1))</f>
        <v/>
      </c>
      <c r="AL246" s="23">
        <f>IF(OR($S246="",$R246=""),"",ROUND(MAX(0,IF($W246="Straight-line",IF(N($V246)&lt;=0,0,($S246-N($U246))*MIN($AK246,$V246)/$V246),IF($W246="Reducing balance",MIN(($S246-N($U246)),$S246-$S246*(1-N($AG246))^INT($AK246/12)*(1-N($AG246)*MOD($AK246,12)/12)),IF($W246="DDB",IF(N($V246)&lt;=0,0,MIN(($S246-N($U246)),$S246-$S246*(1-MIN(1,24/$V246))^INT($AK246/12)*(1-MIN(1,24/$V246)*MOD($AK246,12)/12))),IF($W246="SYD",IF(N($V246)&lt;=0,0,($S246-N($U246))*(INT(MIN($AK246,$V246)/12)*(2*($V246/12)-INT(MIN($AK246,$V246)/12)+1)/2+MOD(MIN($AK246,$V246),12)/12*(($V246/12)-INT(MIN($AK246,$V246)/12)))/(($V246/12)*(($V246/12)+1)/2)),0))))),2))</f>
        <v/>
      </c>
      <c r="AM246" s="23">
        <f>IF($X246="","",$X246-$AL246)</f>
        <v/>
      </c>
      <c r="AN246" s="23">
        <f>IF(OR($AH246="",$Y246=""),"",N($AI246)-$Y246)</f>
        <v/>
      </c>
    </row>
    <row r="247">
      <c r="Q247" s="20" t="n"/>
      <c r="R247" s="20" t="n"/>
      <c r="S247" s="21" t="n"/>
      <c r="U247" s="21" t="n"/>
      <c r="V247" s="22" t="n"/>
      <c r="X247" s="23">
        <f>IF(OR($S247="",$R247=""),"",ROUND(MAX(0,IF($W247="Straight-line",IF(N($V247)&lt;=0,0,($S247-N($U247))*MIN($AJ247,$V247)/$V247),IF($W247="Reducing balance",MIN(($S247-N($U247)),$S247-$S247*(1-N($AG247))^INT($AJ247/12)*(1-N($AG247)*MOD($AJ247,12)/12)),IF($W247="DDB",IF(N($V247)&lt;=0,0,MIN(($S247-N($U247)),$S247-$S247*(1-MIN(1,24/$V247))^INT($AJ247/12)*(1-MIN(1,24/$V247)*MOD($AJ247,12)/12))),IF($W247="SYD",IF(N($V247)&lt;=0,0,($S247-N($U247))*(INT(MIN($AJ247,$V247)/12)*(2*($V247/12)-INT(MIN($AJ247,$V247)/12)+1)/2+MOD(MIN($AJ247,$V247),12)/12*(($V247/12)-INT(MIN($AJ247,$V247)/12)))/(($V247/12)*(($V247/12)+1)/2)),0))))),2))</f>
        <v/>
      </c>
      <c r="Y247" s="23">
        <f>IF($X247="","",$S247-$X247)</f>
        <v/>
      </c>
      <c r="AD247" s="20" t="n"/>
      <c r="AG247" s="24" t="n"/>
      <c r="AH247" s="20" t="n"/>
      <c r="AI247" s="21" t="n"/>
      <c r="AJ247" s="25">
        <f>IF($R247="","",IF($R247&gt;IF($AH247&lt;&gt;"",MIN($AH247,Settings!$B$3),Settings!$B$3),0,(YEAR(IF($AH247&lt;&gt;"",MIN($AH247,Settings!$B$3),Settings!$B$3))-YEAR($R247))*12+MONTH(IF($AH247&lt;&gt;"",MIN($AH247,Settings!$B$3),Settings!$B$3))-MONTH($R247)+1))</f>
        <v/>
      </c>
      <c r="AK247" s="25">
        <f>IF($R247="","",IF($R247&gt;MIN(Settings!$B$4-1,IF($AH247&lt;&gt;"",MIN($AH247,Settings!$B$3),Settings!$B$3)),0,(YEAR(MIN(Settings!$B$4-1,IF($AH247&lt;&gt;"",MIN($AH247,Settings!$B$3),Settings!$B$3)))-YEAR($R247))*12+MONTH(MIN(Settings!$B$4-1,IF($AH247&lt;&gt;"",MIN($AH247,Settings!$B$3),Settings!$B$3)))-MONTH($R247)+1))</f>
        <v/>
      </c>
      <c r="AL247" s="23">
        <f>IF(OR($S247="",$R247=""),"",ROUND(MAX(0,IF($W247="Straight-line",IF(N($V247)&lt;=0,0,($S247-N($U247))*MIN($AK247,$V247)/$V247),IF($W247="Reducing balance",MIN(($S247-N($U247)),$S247-$S247*(1-N($AG247))^INT($AK247/12)*(1-N($AG247)*MOD($AK247,12)/12)),IF($W247="DDB",IF(N($V247)&lt;=0,0,MIN(($S247-N($U247)),$S247-$S247*(1-MIN(1,24/$V247))^INT($AK247/12)*(1-MIN(1,24/$V247)*MOD($AK247,12)/12))),IF($W247="SYD",IF(N($V247)&lt;=0,0,($S247-N($U247))*(INT(MIN($AK247,$V247)/12)*(2*($V247/12)-INT(MIN($AK247,$V247)/12)+1)/2+MOD(MIN($AK247,$V247),12)/12*(($V247/12)-INT(MIN($AK247,$V247)/12)))/(($V247/12)*(($V247/12)+1)/2)),0))))),2))</f>
        <v/>
      </c>
      <c r="AM247" s="23">
        <f>IF($X247="","",$X247-$AL247)</f>
        <v/>
      </c>
      <c r="AN247" s="23">
        <f>IF(OR($AH247="",$Y247=""),"",N($AI247)-$Y247)</f>
        <v/>
      </c>
    </row>
    <row r="248">
      <c r="Q248" s="20" t="n"/>
      <c r="R248" s="20" t="n"/>
      <c r="S248" s="21" t="n"/>
      <c r="U248" s="21" t="n"/>
      <c r="V248" s="22" t="n"/>
      <c r="X248" s="23">
        <f>IF(OR($S248="",$R248=""),"",ROUND(MAX(0,IF($W248="Straight-line",IF(N($V248)&lt;=0,0,($S248-N($U248))*MIN($AJ248,$V248)/$V248),IF($W248="Reducing balance",MIN(($S248-N($U248)),$S248-$S248*(1-N($AG248))^INT($AJ248/12)*(1-N($AG248)*MOD($AJ248,12)/12)),IF($W248="DDB",IF(N($V248)&lt;=0,0,MIN(($S248-N($U248)),$S248-$S248*(1-MIN(1,24/$V248))^INT($AJ248/12)*(1-MIN(1,24/$V248)*MOD($AJ248,12)/12))),IF($W248="SYD",IF(N($V248)&lt;=0,0,($S248-N($U248))*(INT(MIN($AJ248,$V248)/12)*(2*($V248/12)-INT(MIN($AJ248,$V248)/12)+1)/2+MOD(MIN($AJ248,$V248),12)/12*(($V248/12)-INT(MIN($AJ248,$V248)/12)))/(($V248/12)*(($V248/12)+1)/2)),0))))),2))</f>
        <v/>
      </c>
      <c r="Y248" s="23">
        <f>IF($X248="","",$S248-$X248)</f>
        <v/>
      </c>
      <c r="AD248" s="20" t="n"/>
      <c r="AG248" s="24" t="n"/>
      <c r="AH248" s="20" t="n"/>
      <c r="AI248" s="21" t="n"/>
      <c r="AJ248" s="25">
        <f>IF($R248="","",IF($R248&gt;IF($AH248&lt;&gt;"",MIN($AH248,Settings!$B$3),Settings!$B$3),0,(YEAR(IF($AH248&lt;&gt;"",MIN($AH248,Settings!$B$3),Settings!$B$3))-YEAR($R248))*12+MONTH(IF($AH248&lt;&gt;"",MIN($AH248,Settings!$B$3),Settings!$B$3))-MONTH($R248)+1))</f>
        <v/>
      </c>
      <c r="AK248" s="25">
        <f>IF($R248="","",IF($R248&gt;MIN(Settings!$B$4-1,IF($AH248&lt;&gt;"",MIN($AH248,Settings!$B$3),Settings!$B$3)),0,(YEAR(MIN(Settings!$B$4-1,IF($AH248&lt;&gt;"",MIN($AH248,Settings!$B$3),Settings!$B$3)))-YEAR($R248))*12+MONTH(MIN(Settings!$B$4-1,IF($AH248&lt;&gt;"",MIN($AH248,Settings!$B$3),Settings!$B$3)))-MONTH($R248)+1))</f>
        <v/>
      </c>
      <c r="AL248" s="23">
        <f>IF(OR($S248="",$R248=""),"",ROUND(MAX(0,IF($W248="Straight-line",IF(N($V248)&lt;=0,0,($S248-N($U248))*MIN($AK248,$V248)/$V248),IF($W248="Reducing balance",MIN(($S248-N($U248)),$S248-$S248*(1-N($AG248))^INT($AK248/12)*(1-N($AG248)*MOD($AK248,12)/12)),IF($W248="DDB",IF(N($V248)&lt;=0,0,MIN(($S248-N($U248)),$S248-$S248*(1-MIN(1,24/$V248))^INT($AK248/12)*(1-MIN(1,24/$V248)*MOD($AK248,12)/12))),IF($W248="SYD",IF(N($V248)&lt;=0,0,($S248-N($U248))*(INT(MIN($AK248,$V248)/12)*(2*($V248/12)-INT(MIN($AK248,$V248)/12)+1)/2+MOD(MIN($AK248,$V248),12)/12*(($V248/12)-INT(MIN($AK248,$V248)/12)))/(($V248/12)*(($V248/12)+1)/2)),0))))),2))</f>
        <v/>
      </c>
      <c r="AM248" s="23">
        <f>IF($X248="","",$X248-$AL248)</f>
        <v/>
      </c>
      <c r="AN248" s="23">
        <f>IF(OR($AH248="",$Y248=""),"",N($AI248)-$Y248)</f>
        <v/>
      </c>
    </row>
    <row r="249">
      <c r="Q249" s="20" t="n"/>
      <c r="R249" s="20" t="n"/>
      <c r="S249" s="21" t="n"/>
      <c r="U249" s="21" t="n"/>
      <c r="V249" s="22" t="n"/>
      <c r="X249" s="23">
        <f>IF(OR($S249="",$R249=""),"",ROUND(MAX(0,IF($W249="Straight-line",IF(N($V249)&lt;=0,0,($S249-N($U249))*MIN($AJ249,$V249)/$V249),IF($W249="Reducing balance",MIN(($S249-N($U249)),$S249-$S249*(1-N($AG249))^INT($AJ249/12)*(1-N($AG249)*MOD($AJ249,12)/12)),IF($W249="DDB",IF(N($V249)&lt;=0,0,MIN(($S249-N($U249)),$S249-$S249*(1-MIN(1,24/$V249))^INT($AJ249/12)*(1-MIN(1,24/$V249)*MOD($AJ249,12)/12))),IF($W249="SYD",IF(N($V249)&lt;=0,0,($S249-N($U249))*(INT(MIN($AJ249,$V249)/12)*(2*($V249/12)-INT(MIN($AJ249,$V249)/12)+1)/2+MOD(MIN($AJ249,$V249),12)/12*(($V249/12)-INT(MIN($AJ249,$V249)/12)))/(($V249/12)*(($V249/12)+1)/2)),0))))),2))</f>
        <v/>
      </c>
      <c r="Y249" s="23">
        <f>IF($X249="","",$S249-$X249)</f>
        <v/>
      </c>
      <c r="AD249" s="20" t="n"/>
      <c r="AG249" s="24" t="n"/>
      <c r="AH249" s="20" t="n"/>
      <c r="AI249" s="21" t="n"/>
      <c r="AJ249" s="25">
        <f>IF($R249="","",IF($R249&gt;IF($AH249&lt;&gt;"",MIN($AH249,Settings!$B$3),Settings!$B$3),0,(YEAR(IF($AH249&lt;&gt;"",MIN($AH249,Settings!$B$3),Settings!$B$3))-YEAR($R249))*12+MONTH(IF($AH249&lt;&gt;"",MIN($AH249,Settings!$B$3),Settings!$B$3))-MONTH($R249)+1))</f>
        <v/>
      </c>
      <c r="AK249" s="25">
        <f>IF($R249="","",IF($R249&gt;MIN(Settings!$B$4-1,IF($AH249&lt;&gt;"",MIN($AH249,Settings!$B$3),Settings!$B$3)),0,(YEAR(MIN(Settings!$B$4-1,IF($AH249&lt;&gt;"",MIN($AH249,Settings!$B$3),Settings!$B$3)))-YEAR($R249))*12+MONTH(MIN(Settings!$B$4-1,IF($AH249&lt;&gt;"",MIN($AH249,Settings!$B$3),Settings!$B$3)))-MONTH($R249)+1))</f>
        <v/>
      </c>
      <c r="AL249" s="23">
        <f>IF(OR($S249="",$R249=""),"",ROUND(MAX(0,IF($W249="Straight-line",IF(N($V249)&lt;=0,0,($S249-N($U249))*MIN($AK249,$V249)/$V249),IF($W249="Reducing balance",MIN(($S249-N($U249)),$S249-$S249*(1-N($AG249))^INT($AK249/12)*(1-N($AG249)*MOD($AK249,12)/12)),IF($W249="DDB",IF(N($V249)&lt;=0,0,MIN(($S249-N($U249)),$S249-$S249*(1-MIN(1,24/$V249))^INT($AK249/12)*(1-MIN(1,24/$V249)*MOD($AK249,12)/12))),IF($W249="SYD",IF(N($V249)&lt;=0,0,($S249-N($U249))*(INT(MIN($AK249,$V249)/12)*(2*($V249/12)-INT(MIN($AK249,$V249)/12)+1)/2+MOD(MIN($AK249,$V249),12)/12*(($V249/12)-INT(MIN($AK249,$V249)/12)))/(($V249/12)*(($V249/12)+1)/2)),0))))),2))</f>
        <v/>
      </c>
      <c r="AM249" s="23">
        <f>IF($X249="","",$X249-$AL249)</f>
        <v/>
      </c>
      <c r="AN249" s="23">
        <f>IF(OR($AH249="",$Y249=""),"",N($AI249)-$Y249)</f>
        <v/>
      </c>
    </row>
    <row r="250">
      <c r="Q250" s="20" t="n"/>
      <c r="R250" s="20" t="n"/>
      <c r="S250" s="21" t="n"/>
      <c r="U250" s="21" t="n"/>
      <c r="V250" s="22" t="n"/>
      <c r="X250" s="23">
        <f>IF(OR($S250="",$R250=""),"",ROUND(MAX(0,IF($W250="Straight-line",IF(N($V250)&lt;=0,0,($S250-N($U250))*MIN($AJ250,$V250)/$V250),IF($W250="Reducing balance",MIN(($S250-N($U250)),$S250-$S250*(1-N($AG250))^INT($AJ250/12)*(1-N($AG250)*MOD($AJ250,12)/12)),IF($W250="DDB",IF(N($V250)&lt;=0,0,MIN(($S250-N($U250)),$S250-$S250*(1-MIN(1,24/$V250))^INT($AJ250/12)*(1-MIN(1,24/$V250)*MOD($AJ250,12)/12))),IF($W250="SYD",IF(N($V250)&lt;=0,0,($S250-N($U250))*(INT(MIN($AJ250,$V250)/12)*(2*($V250/12)-INT(MIN($AJ250,$V250)/12)+1)/2+MOD(MIN($AJ250,$V250),12)/12*(($V250/12)-INT(MIN($AJ250,$V250)/12)))/(($V250/12)*(($V250/12)+1)/2)),0))))),2))</f>
        <v/>
      </c>
      <c r="Y250" s="23">
        <f>IF($X250="","",$S250-$X250)</f>
        <v/>
      </c>
      <c r="AD250" s="20" t="n"/>
      <c r="AG250" s="24" t="n"/>
      <c r="AH250" s="20" t="n"/>
      <c r="AI250" s="21" t="n"/>
      <c r="AJ250" s="25">
        <f>IF($R250="","",IF($R250&gt;IF($AH250&lt;&gt;"",MIN($AH250,Settings!$B$3),Settings!$B$3),0,(YEAR(IF($AH250&lt;&gt;"",MIN($AH250,Settings!$B$3),Settings!$B$3))-YEAR($R250))*12+MONTH(IF($AH250&lt;&gt;"",MIN($AH250,Settings!$B$3),Settings!$B$3))-MONTH($R250)+1))</f>
        <v/>
      </c>
      <c r="AK250" s="25">
        <f>IF($R250="","",IF($R250&gt;MIN(Settings!$B$4-1,IF($AH250&lt;&gt;"",MIN($AH250,Settings!$B$3),Settings!$B$3)),0,(YEAR(MIN(Settings!$B$4-1,IF($AH250&lt;&gt;"",MIN($AH250,Settings!$B$3),Settings!$B$3)))-YEAR($R250))*12+MONTH(MIN(Settings!$B$4-1,IF($AH250&lt;&gt;"",MIN($AH250,Settings!$B$3),Settings!$B$3)))-MONTH($R250)+1))</f>
        <v/>
      </c>
      <c r="AL250" s="23">
        <f>IF(OR($S250="",$R250=""),"",ROUND(MAX(0,IF($W250="Straight-line",IF(N($V250)&lt;=0,0,($S250-N($U250))*MIN($AK250,$V250)/$V250),IF($W250="Reducing balance",MIN(($S250-N($U250)),$S250-$S250*(1-N($AG250))^INT($AK250/12)*(1-N($AG250)*MOD($AK250,12)/12)),IF($W250="DDB",IF(N($V250)&lt;=0,0,MIN(($S250-N($U250)),$S250-$S250*(1-MIN(1,24/$V250))^INT($AK250/12)*(1-MIN(1,24/$V250)*MOD($AK250,12)/12))),IF($W250="SYD",IF(N($V250)&lt;=0,0,($S250-N($U250))*(INT(MIN($AK250,$V250)/12)*(2*($V250/12)-INT(MIN($AK250,$V250)/12)+1)/2+MOD(MIN($AK250,$V250),12)/12*(($V250/12)-INT(MIN($AK250,$V250)/12)))/(($V250/12)*(($V250/12)+1)/2)),0))))),2))</f>
        <v/>
      </c>
      <c r="AM250" s="23">
        <f>IF($X250="","",$X250-$AL250)</f>
        <v/>
      </c>
      <c r="AN250" s="23">
        <f>IF(OR($AH250="",$Y250=""),"",N($AI250)-$Y250)</f>
        <v/>
      </c>
    </row>
    <row r="251">
      <c r="Q251" s="20" t="n"/>
      <c r="R251" s="20" t="n"/>
      <c r="S251" s="21" t="n"/>
      <c r="U251" s="21" t="n"/>
      <c r="V251" s="22" t="n"/>
      <c r="X251" s="23">
        <f>IF(OR($S251="",$R251=""),"",ROUND(MAX(0,IF($W251="Straight-line",IF(N($V251)&lt;=0,0,($S251-N($U251))*MIN($AJ251,$V251)/$V251),IF($W251="Reducing balance",MIN(($S251-N($U251)),$S251-$S251*(1-N($AG251))^INT($AJ251/12)*(1-N($AG251)*MOD($AJ251,12)/12)),IF($W251="DDB",IF(N($V251)&lt;=0,0,MIN(($S251-N($U251)),$S251-$S251*(1-MIN(1,24/$V251))^INT($AJ251/12)*(1-MIN(1,24/$V251)*MOD($AJ251,12)/12))),IF($W251="SYD",IF(N($V251)&lt;=0,0,($S251-N($U251))*(INT(MIN($AJ251,$V251)/12)*(2*($V251/12)-INT(MIN($AJ251,$V251)/12)+1)/2+MOD(MIN($AJ251,$V251),12)/12*(($V251/12)-INT(MIN($AJ251,$V251)/12)))/(($V251/12)*(($V251/12)+1)/2)),0))))),2))</f>
        <v/>
      </c>
      <c r="Y251" s="23">
        <f>IF($X251="","",$S251-$X251)</f>
        <v/>
      </c>
      <c r="AD251" s="20" t="n"/>
      <c r="AG251" s="24" t="n"/>
      <c r="AH251" s="20" t="n"/>
      <c r="AI251" s="21" t="n"/>
      <c r="AJ251" s="25">
        <f>IF($R251="","",IF($R251&gt;IF($AH251&lt;&gt;"",MIN($AH251,Settings!$B$3),Settings!$B$3),0,(YEAR(IF($AH251&lt;&gt;"",MIN($AH251,Settings!$B$3),Settings!$B$3))-YEAR($R251))*12+MONTH(IF($AH251&lt;&gt;"",MIN($AH251,Settings!$B$3),Settings!$B$3))-MONTH($R251)+1))</f>
        <v/>
      </c>
      <c r="AK251" s="25">
        <f>IF($R251="","",IF($R251&gt;MIN(Settings!$B$4-1,IF($AH251&lt;&gt;"",MIN($AH251,Settings!$B$3),Settings!$B$3)),0,(YEAR(MIN(Settings!$B$4-1,IF($AH251&lt;&gt;"",MIN($AH251,Settings!$B$3),Settings!$B$3)))-YEAR($R251))*12+MONTH(MIN(Settings!$B$4-1,IF($AH251&lt;&gt;"",MIN($AH251,Settings!$B$3),Settings!$B$3)))-MONTH($R251)+1))</f>
        <v/>
      </c>
      <c r="AL251" s="23">
        <f>IF(OR($S251="",$R251=""),"",ROUND(MAX(0,IF($W251="Straight-line",IF(N($V251)&lt;=0,0,($S251-N($U251))*MIN($AK251,$V251)/$V251),IF($W251="Reducing balance",MIN(($S251-N($U251)),$S251-$S251*(1-N($AG251))^INT($AK251/12)*(1-N($AG251)*MOD($AK251,12)/12)),IF($W251="DDB",IF(N($V251)&lt;=0,0,MIN(($S251-N($U251)),$S251-$S251*(1-MIN(1,24/$V251))^INT($AK251/12)*(1-MIN(1,24/$V251)*MOD($AK251,12)/12))),IF($W251="SYD",IF(N($V251)&lt;=0,0,($S251-N($U251))*(INT(MIN($AK251,$V251)/12)*(2*($V251/12)-INT(MIN($AK251,$V251)/12)+1)/2+MOD(MIN($AK251,$V251),12)/12*(($V251/12)-INT(MIN($AK251,$V251)/12)))/(($V251/12)*(($V251/12)+1)/2)),0))))),2))</f>
        <v/>
      </c>
      <c r="AM251" s="23">
        <f>IF($X251="","",$X251-$AL251)</f>
        <v/>
      </c>
      <c r="AN251" s="23">
        <f>IF(OR($AH251="",$Y251=""),"",N($AI251)-$Y251)</f>
        <v/>
      </c>
    </row>
    <row r="252">
      <c r="Q252" s="20" t="n"/>
      <c r="R252" s="20" t="n"/>
      <c r="S252" s="21" t="n"/>
      <c r="U252" s="21" t="n"/>
      <c r="V252" s="22" t="n"/>
      <c r="X252" s="23">
        <f>IF(OR($S252="",$R252=""),"",ROUND(MAX(0,IF($W252="Straight-line",IF(N($V252)&lt;=0,0,($S252-N($U252))*MIN($AJ252,$V252)/$V252),IF($W252="Reducing balance",MIN(($S252-N($U252)),$S252-$S252*(1-N($AG252))^INT($AJ252/12)*(1-N($AG252)*MOD($AJ252,12)/12)),IF($W252="DDB",IF(N($V252)&lt;=0,0,MIN(($S252-N($U252)),$S252-$S252*(1-MIN(1,24/$V252))^INT($AJ252/12)*(1-MIN(1,24/$V252)*MOD($AJ252,12)/12))),IF($W252="SYD",IF(N($V252)&lt;=0,0,($S252-N($U252))*(INT(MIN($AJ252,$V252)/12)*(2*($V252/12)-INT(MIN($AJ252,$V252)/12)+1)/2+MOD(MIN($AJ252,$V252),12)/12*(($V252/12)-INT(MIN($AJ252,$V252)/12)))/(($V252/12)*(($V252/12)+1)/2)),0))))),2))</f>
        <v/>
      </c>
      <c r="Y252" s="23">
        <f>IF($X252="","",$S252-$X252)</f>
        <v/>
      </c>
      <c r="AD252" s="20" t="n"/>
      <c r="AG252" s="24" t="n"/>
      <c r="AH252" s="20" t="n"/>
      <c r="AI252" s="21" t="n"/>
      <c r="AJ252" s="25">
        <f>IF($R252="","",IF($R252&gt;IF($AH252&lt;&gt;"",MIN($AH252,Settings!$B$3),Settings!$B$3),0,(YEAR(IF($AH252&lt;&gt;"",MIN($AH252,Settings!$B$3),Settings!$B$3))-YEAR($R252))*12+MONTH(IF($AH252&lt;&gt;"",MIN($AH252,Settings!$B$3),Settings!$B$3))-MONTH($R252)+1))</f>
        <v/>
      </c>
      <c r="AK252" s="25">
        <f>IF($R252="","",IF($R252&gt;MIN(Settings!$B$4-1,IF($AH252&lt;&gt;"",MIN($AH252,Settings!$B$3),Settings!$B$3)),0,(YEAR(MIN(Settings!$B$4-1,IF($AH252&lt;&gt;"",MIN($AH252,Settings!$B$3),Settings!$B$3)))-YEAR($R252))*12+MONTH(MIN(Settings!$B$4-1,IF($AH252&lt;&gt;"",MIN($AH252,Settings!$B$3),Settings!$B$3)))-MONTH($R252)+1))</f>
        <v/>
      </c>
      <c r="AL252" s="23">
        <f>IF(OR($S252="",$R252=""),"",ROUND(MAX(0,IF($W252="Straight-line",IF(N($V252)&lt;=0,0,($S252-N($U252))*MIN($AK252,$V252)/$V252),IF($W252="Reducing balance",MIN(($S252-N($U252)),$S252-$S252*(1-N($AG252))^INT($AK252/12)*(1-N($AG252)*MOD($AK252,12)/12)),IF($W252="DDB",IF(N($V252)&lt;=0,0,MIN(($S252-N($U252)),$S252-$S252*(1-MIN(1,24/$V252))^INT($AK252/12)*(1-MIN(1,24/$V252)*MOD($AK252,12)/12))),IF($W252="SYD",IF(N($V252)&lt;=0,0,($S252-N($U252))*(INT(MIN($AK252,$V252)/12)*(2*($V252/12)-INT(MIN($AK252,$V252)/12)+1)/2+MOD(MIN($AK252,$V252),12)/12*(($V252/12)-INT(MIN($AK252,$V252)/12)))/(($V252/12)*(($V252/12)+1)/2)),0))))),2))</f>
        <v/>
      </c>
      <c r="AM252" s="23">
        <f>IF($X252="","",$X252-$AL252)</f>
        <v/>
      </c>
      <c r="AN252" s="23">
        <f>IF(OR($AH252="",$Y252=""),"",N($AI252)-$Y252)</f>
        <v/>
      </c>
    </row>
    <row r="253">
      <c r="Q253" s="20" t="n"/>
      <c r="R253" s="20" t="n"/>
      <c r="S253" s="21" t="n"/>
      <c r="U253" s="21" t="n"/>
      <c r="V253" s="22" t="n"/>
      <c r="X253" s="23">
        <f>IF(OR($S253="",$R253=""),"",ROUND(MAX(0,IF($W253="Straight-line",IF(N($V253)&lt;=0,0,($S253-N($U253))*MIN($AJ253,$V253)/$V253),IF($W253="Reducing balance",MIN(($S253-N($U253)),$S253-$S253*(1-N($AG253))^INT($AJ253/12)*(1-N($AG253)*MOD($AJ253,12)/12)),IF($W253="DDB",IF(N($V253)&lt;=0,0,MIN(($S253-N($U253)),$S253-$S253*(1-MIN(1,24/$V253))^INT($AJ253/12)*(1-MIN(1,24/$V253)*MOD($AJ253,12)/12))),IF($W253="SYD",IF(N($V253)&lt;=0,0,($S253-N($U253))*(INT(MIN($AJ253,$V253)/12)*(2*($V253/12)-INT(MIN($AJ253,$V253)/12)+1)/2+MOD(MIN($AJ253,$V253),12)/12*(($V253/12)-INT(MIN($AJ253,$V253)/12)))/(($V253/12)*(($V253/12)+1)/2)),0))))),2))</f>
        <v/>
      </c>
      <c r="Y253" s="23">
        <f>IF($X253="","",$S253-$X253)</f>
        <v/>
      </c>
      <c r="AD253" s="20" t="n"/>
      <c r="AG253" s="24" t="n"/>
      <c r="AH253" s="20" t="n"/>
      <c r="AI253" s="21" t="n"/>
      <c r="AJ253" s="25">
        <f>IF($R253="","",IF($R253&gt;IF($AH253&lt;&gt;"",MIN($AH253,Settings!$B$3),Settings!$B$3),0,(YEAR(IF($AH253&lt;&gt;"",MIN($AH253,Settings!$B$3),Settings!$B$3))-YEAR($R253))*12+MONTH(IF($AH253&lt;&gt;"",MIN($AH253,Settings!$B$3),Settings!$B$3))-MONTH($R253)+1))</f>
        <v/>
      </c>
      <c r="AK253" s="25">
        <f>IF($R253="","",IF($R253&gt;MIN(Settings!$B$4-1,IF($AH253&lt;&gt;"",MIN($AH253,Settings!$B$3),Settings!$B$3)),0,(YEAR(MIN(Settings!$B$4-1,IF($AH253&lt;&gt;"",MIN($AH253,Settings!$B$3),Settings!$B$3)))-YEAR($R253))*12+MONTH(MIN(Settings!$B$4-1,IF($AH253&lt;&gt;"",MIN($AH253,Settings!$B$3),Settings!$B$3)))-MONTH($R253)+1))</f>
        <v/>
      </c>
      <c r="AL253" s="23">
        <f>IF(OR($S253="",$R253=""),"",ROUND(MAX(0,IF($W253="Straight-line",IF(N($V253)&lt;=0,0,($S253-N($U253))*MIN($AK253,$V253)/$V253),IF($W253="Reducing balance",MIN(($S253-N($U253)),$S253-$S253*(1-N($AG253))^INT($AK253/12)*(1-N($AG253)*MOD($AK253,12)/12)),IF($W253="DDB",IF(N($V253)&lt;=0,0,MIN(($S253-N($U253)),$S253-$S253*(1-MIN(1,24/$V253))^INT($AK253/12)*(1-MIN(1,24/$V253)*MOD($AK253,12)/12))),IF($W253="SYD",IF(N($V253)&lt;=0,0,($S253-N($U253))*(INT(MIN($AK253,$V253)/12)*(2*($V253/12)-INT(MIN($AK253,$V253)/12)+1)/2+MOD(MIN($AK253,$V253),12)/12*(($V253/12)-INT(MIN($AK253,$V253)/12)))/(($V253/12)*(($V253/12)+1)/2)),0))))),2))</f>
        <v/>
      </c>
      <c r="AM253" s="23">
        <f>IF($X253="","",$X253-$AL253)</f>
        <v/>
      </c>
      <c r="AN253" s="23">
        <f>IF(OR($AH253="",$Y253=""),"",N($AI253)-$Y253)</f>
        <v/>
      </c>
    </row>
    <row r="254">
      <c r="Q254" s="20" t="n"/>
      <c r="R254" s="20" t="n"/>
      <c r="S254" s="21" t="n"/>
      <c r="U254" s="21" t="n"/>
      <c r="V254" s="22" t="n"/>
      <c r="X254" s="23">
        <f>IF(OR($S254="",$R254=""),"",ROUND(MAX(0,IF($W254="Straight-line",IF(N($V254)&lt;=0,0,($S254-N($U254))*MIN($AJ254,$V254)/$V254),IF($W254="Reducing balance",MIN(($S254-N($U254)),$S254-$S254*(1-N($AG254))^INT($AJ254/12)*(1-N($AG254)*MOD($AJ254,12)/12)),IF($W254="DDB",IF(N($V254)&lt;=0,0,MIN(($S254-N($U254)),$S254-$S254*(1-MIN(1,24/$V254))^INT($AJ254/12)*(1-MIN(1,24/$V254)*MOD($AJ254,12)/12))),IF($W254="SYD",IF(N($V254)&lt;=0,0,($S254-N($U254))*(INT(MIN($AJ254,$V254)/12)*(2*($V254/12)-INT(MIN($AJ254,$V254)/12)+1)/2+MOD(MIN($AJ254,$V254),12)/12*(($V254/12)-INT(MIN($AJ254,$V254)/12)))/(($V254/12)*(($V254/12)+1)/2)),0))))),2))</f>
        <v/>
      </c>
      <c r="Y254" s="23">
        <f>IF($X254="","",$S254-$X254)</f>
        <v/>
      </c>
      <c r="AD254" s="20" t="n"/>
      <c r="AG254" s="24" t="n"/>
      <c r="AH254" s="20" t="n"/>
      <c r="AI254" s="21" t="n"/>
      <c r="AJ254" s="25">
        <f>IF($R254="","",IF($R254&gt;IF($AH254&lt;&gt;"",MIN($AH254,Settings!$B$3),Settings!$B$3),0,(YEAR(IF($AH254&lt;&gt;"",MIN($AH254,Settings!$B$3),Settings!$B$3))-YEAR($R254))*12+MONTH(IF($AH254&lt;&gt;"",MIN($AH254,Settings!$B$3),Settings!$B$3))-MONTH($R254)+1))</f>
        <v/>
      </c>
      <c r="AK254" s="25">
        <f>IF($R254="","",IF($R254&gt;MIN(Settings!$B$4-1,IF($AH254&lt;&gt;"",MIN($AH254,Settings!$B$3),Settings!$B$3)),0,(YEAR(MIN(Settings!$B$4-1,IF($AH254&lt;&gt;"",MIN($AH254,Settings!$B$3),Settings!$B$3)))-YEAR($R254))*12+MONTH(MIN(Settings!$B$4-1,IF($AH254&lt;&gt;"",MIN($AH254,Settings!$B$3),Settings!$B$3)))-MONTH($R254)+1))</f>
        <v/>
      </c>
      <c r="AL254" s="23">
        <f>IF(OR($S254="",$R254=""),"",ROUND(MAX(0,IF($W254="Straight-line",IF(N($V254)&lt;=0,0,($S254-N($U254))*MIN($AK254,$V254)/$V254),IF($W254="Reducing balance",MIN(($S254-N($U254)),$S254-$S254*(1-N($AG254))^INT($AK254/12)*(1-N($AG254)*MOD($AK254,12)/12)),IF($W254="DDB",IF(N($V254)&lt;=0,0,MIN(($S254-N($U254)),$S254-$S254*(1-MIN(1,24/$V254))^INT($AK254/12)*(1-MIN(1,24/$V254)*MOD($AK254,12)/12))),IF($W254="SYD",IF(N($V254)&lt;=0,0,($S254-N($U254))*(INT(MIN($AK254,$V254)/12)*(2*($V254/12)-INT(MIN($AK254,$V254)/12)+1)/2+MOD(MIN($AK254,$V254),12)/12*(($V254/12)-INT(MIN($AK254,$V254)/12)))/(($V254/12)*(($V254/12)+1)/2)),0))))),2))</f>
        <v/>
      </c>
      <c r="AM254" s="23">
        <f>IF($X254="","",$X254-$AL254)</f>
        <v/>
      </c>
      <c r="AN254" s="23">
        <f>IF(OR($AH254="",$Y254=""),"",N($AI254)-$Y254)</f>
        <v/>
      </c>
    </row>
    <row r="255">
      <c r="Q255" s="20" t="n"/>
      <c r="R255" s="20" t="n"/>
      <c r="S255" s="21" t="n"/>
      <c r="U255" s="21" t="n"/>
      <c r="V255" s="22" t="n"/>
      <c r="X255" s="23">
        <f>IF(OR($S255="",$R255=""),"",ROUND(MAX(0,IF($W255="Straight-line",IF(N($V255)&lt;=0,0,($S255-N($U255))*MIN($AJ255,$V255)/$V255),IF($W255="Reducing balance",MIN(($S255-N($U255)),$S255-$S255*(1-N($AG255))^INT($AJ255/12)*(1-N($AG255)*MOD($AJ255,12)/12)),IF($W255="DDB",IF(N($V255)&lt;=0,0,MIN(($S255-N($U255)),$S255-$S255*(1-MIN(1,24/$V255))^INT($AJ255/12)*(1-MIN(1,24/$V255)*MOD($AJ255,12)/12))),IF($W255="SYD",IF(N($V255)&lt;=0,0,($S255-N($U255))*(INT(MIN($AJ255,$V255)/12)*(2*($V255/12)-INT(MIN($AJ255,$V255)/12)+1)/2+MOD(MIN($AJ255,$V255),12)/12*(($V255/12)-INT(MIN($AJ255,$V255)/12)))/(($V255/12)*(($V255/12)+1)/2)),0))))),2))</f>
        <v/>
      </c>
      <c r="Y255" s="23">
        <f>IF($X255="","",$S255-$X255)</f>
        <v/>
      </c>
      <c r="AD255" s="20" t="n"/>
      <c r="AG255" s="24" t="n"/>
      <c r="AH255" s="20" t="n"/>
      <c r="AI255" s="21" t="n"/>
      <c r="AJ255" s="25">
        <f>IF($R255="","",IF($R255&gt;IF($AH255&lt;&gt;"",MIN($AH255,Settings!$B$3),Settings!$B$3),0,(YEAR(IF($AH255&lt;&gt;"",MIN($AH255,Settings!$B$3),Settings!$B$3))-YEAR($R255))*12+MONTH(IF($AH255&lt;&gt;"",MIN($AH255,Settings!$B$3),Settings!$B$3))-MONTH($R255)+1))</f>
        <v/>
      </c>
      <c r="AK255" s="25">
        <f>IF($R255="","",IF($R255&gt;MIN(Settings!$B$4-1,IF($AH255&lt;&gt;"",MIN($AH255,Settings!$B$3),Settings!$B$3)),0,(YEAR(MIN(Settings!$B$4-1,IF($AH255&lt;&gt;"",MIN($AH255,Settings!$B$3),Settings!$B$3)))-YEAR($R255))*12+MONTH(MIN(Settings!$B$4-1,IF($AH255&lt;&gt;"",MIN($AH255,Settings!$B$3),Settings!$B$3)))-MONTH($R255)+1))</f>
        <v/>
      </c>
      <c r="AL255" s="23">
        <f>IF(OR($S255="",$R255=""),"",ROUND(MAX(0,IF($W255="Straight-line",IF(N($V255)&lt;=0,0,($S255-N($U255))*MIN($AK255,$V255)/$V255),IF($W255="Reducing balance",MIN(($S255-N($U255)),$S255-$S255*(1-N($AG255))^INT($AK255/12)*(1-N($AG255)*MOD($AK255,12)/12)),IF($W255="DDB",IF(N($V255)&lt;=0,0,MIN(($S255-N($U255)),$S255-$S255*(1-MIN(1,24/$V255))^INT($AK255/12)*(1-MIN(1,24/$V255)*MOD($AK255,12)/12))),IF($W255="SYD",IF(N($V255)&lt;=0,0,($S255-N($U255))*(INT(MIN($AK255,$V255)/12)*(2*($V255/12)-INT(MIN($AK255,$V255)/12)+1)/2+MOD(MIN($AK255,$V255),12)/12*(($V255/12)-INT(MIN($AK255,$V255)/12)))/(($V255/12)*(($V255/12)+1)/2)),0))))),2))</f>
        <v/>
      </c>
      <c r="AM255" s="23">
        <f>IF($X255="","",$X255-$AL255)</f>
        <v/>
      </c>
      <c r="AN255" s="23">
        <f>IF(OR($AH255="",$Y255=""),"",N($AI255)-$Y255)</f>
        <v/>
      </c>
    </row>
    <row r="256">
      <c r="Q256" s="20" t="n"/>
      <c r="R256" s="20" t="n"/>
      <c r="S256" s="21" t="n"/>
      <c r="U256" s="21" t="n"/>
      <c r="V256" s="22" t="n"/>
      <c r="X256" s="23">
        <f>IF(OR($S256="",$R256=""),"",ROUND(MAX(0,IF($W256="Straight-line",IF(N($V256)&lt;=0,0,($S256-N($U256))*MIN($AJ256,$V256)/$V256),IF($W256="Reducing balance",MIN(($S256-N($U256)),$S256-$S256*(1-N($AG256))^INT($AJ256/12)*(1-N($AG256)*MOD($AJ256,12)/12)),IF($W256="DDB",IF(N($V256)&lt;=0,0,MIN(($S256-N($U256)),$S256-$S256*(1-MIN(1,24/$V256))^INT($AJ256/12)*(1-MIN(1,24/$V256)*MOD($AJ256,12)/12))),IF($W256="SYD",IF(N($V256)&lt;=0,0,($S256-N($U256))*(INT(MIN($AJ256,$V256)/12)*(2*($V256/12)-INT(MIN($AJ256,$V256)/12)+1)/2+MOD(MIN($AJ256,$V256),12)/12*(($V256/12)-INT(MIN($AJ256,$V256)/12)))/(($V256/12)*(($V256/12)+1)/2)),0))))),2))</f>
        <v/>
      </c>
      <c r="Y256" s="23">
        <f>IF($X256="","",$S256-$X256)</f>
        <v/>
      </c>
      <c r="AD256" s="20" t="n"/>
      <c r="AG256" s="24" t="n"/>
      <c r="AH256" s="20" t="n"/>
      <c r="AI256" s="21" t="n"/>
      <c r="AJ256" s="25">
        <f>IF($R256="","",IF($R256&gt;IF($AH256&lt;&gt;"",MIN($AH256,Settings!$B$3),Settings!$B$3),0,(YEAR(IF($AH256&lt;&gt;"",MIN($AH256,Settings!$B$3),Settings!$B$3))-YEAR($R256))*12+MONTH(IF($AH256&lt;&gt;"",MIN($AH256,Settings!$B$3),Settings!$B$3))-MONTH($R256)+1))</f>
        <v/>
      </c>
      <c r="AK256" s="25">
        <f>IF($R256="","",IF($R256&gt;MIN(Settings!$B$4-1,IF($AH256&lt;&gt;"",MIN($AH256,Settings!$B$3),Settings!$B$3)),0,(YEAR(MIN(Settings!$B$4-1,IF($AH256&lt;&gt;"",MIN($AH256,Settings!$B$3),Settings!$B$3)))-YEAR($R256))*12+MONTH(MIN(Settings!$B$4-1,IF($AH256&lt;&gt;"",MIN($AH256,Settings!$B$3),Settings!$B$3)))-MONTH($R256)+1))</f>
        <v/>
      </c>
      <c r="AL256" s="23">
        <f>IF(OR($S256="",$R256=""),"",ROUND(MAX(0,IF($W256="Straight-line",IF(N($V256)&lt;=0,0,($S256-N($U256))*MIN($AK256,$V256)/$V256),IF($W256="Reducing balance",MIN(($S256-N($U256)),$S256-$S256*(1-N($AG256))^INT($AK256/12)*(1-N($AG256)*MOD($AK256,12)/12)),IF($W256="DDB",IF(N($V256)&lt;=0,0,MIN(($S256-N($U256)),$S256-$S256*(1-MIN(1,24/$V256))^INT($AK256/12)*(1-MIN(1,24/$V256)*MOD($AK256,12)/12))),IF($W256="SYD",IF(N($V256)&lt;=0,0,($S256-N($U256))*(INT(MIN($AK256,$V256)/12)*(2*($V256/12)-INT(MIN($AK256,$V256)/12)+1)/2+MOD(MIN($AK256,$V256),12)/12*(($V256/12)-INT(MIN($AK256,$V256)/12)))/(($V256/12)*(($V256/12)+1)/2)),0))))),2))</f>
        <v/>
      </c>
      <c r="AM256" s="23">
        <f>IF($X256="","",$X256-$AL256)</f>
        <v/>
      </c>
      <c r="AN256" s="23">
        <f>IF(OR($AH256="",$Y256=""),"",N($AI256)-$Y256)</f>
        <v/>
      </c>
    </row>
    <row r="257">
      <c r="Q257" s="20" t="n"/>
      <c r="R257" s="20" t="n"/>
      <c r="S257" s="21" t="n"/>
      <c r="U257" s="21" t="n"/>
      <c r="V257" s="22" t="n"/>
      <c r="X257" s="23">
        <f>IF(OR($S257="",$R257=""),"",ROUND(MAX(0,IF($W257="Straight-line",IF(N($V257)&lt;=0,0,($S257-N($U257))*MIN($AJ257,$V257)/$V257),IF($W257="Reducing balance",MIN(($S257-N($U257)),$S257-$S257*(1-N($AG257))^INT($AJ257/12)*(1-N($AG257)*MOD($AJ257,12)/12)),IF($W257="DDB",IF(N($V257)&lt;=0,0,MIN(($S257-N($U257)),$S257-$S257*(1-MIN(1,24/$V257))^INT($AJ257/12)*(1-MIN(1,24/$V257)*MOD($AJ257,12)/12))),IF($W257="SYD",IF(N($V257)&lt;=0,0,($S257-N($U257))*(INT(MIN($AJ257,$V257)/12)*(2*($V257/12)-INT(MIN($AJ257,$V257)/12)+1)/2+MOD(MIN($AJ257,$V257),12)/12*(($V257/12)-INT(MIN($AJ257,$V257)/12)))/(($V257/12)*(($V257/12)+1)/2)),0))))),2))</f>
        <v/>
      </c>
      <c r="Y257" s="23">
        <f>IF($X257="","",$S257-$X257)</f>
        <v/>
      </c>
      <c r="AD257" s="20" t="n"/>
      <c r="AG257" s="24" t="n"/>
      <c r="AH257" s="20" t="n"/>
      <c r="AI257" s="21" t="n"/>
      <c r="AJ257" s="25">
        <f>IF($R257="","",IF($R257&gt;IF($AH257&lt;&gt;"",MIN($AH257,Settings!$B$3),Settings!$B$3),0,(YEAR(IF($AH257&lt;&gt;"",MIN($AH257,Settings!$B$3),Settings!$B$3))-YEAR($R257))*12+MONTH(IF($AH257&lt;&gt;"",MIN($AH257,Settings!$B$3),Settings!$B$3))-MONTH($R257)+1))</f>
        <v/>
      </c>
      <c r="AK257" s="25">
        <f>IF($R257="","",IF($R257&gt;MIN(Settings!$B$4-1,IF($AH257&lt;&gt;"",MIN($AH257,Settings!$B$3),Settings!$B$3)),0,(YEAR(MIN(Settings!$B$4-1,IF($AH257&lt;&gt;"",MIN($AH257,Settings!$B$3),Settings!$B$3)))-YEAR($R257))*12+MONTH(MIN(Settings!$B$4-1,IF($AH257&lt;&gt;"",MIN($AH257,Settings!$B$3),Settings!$B$3)))-MONTH($R257)+1))</f>
        <v/>
      </c>
      <c r="AL257" s="23">
        <f>IF(OR($S257="",$R257=""),"",ROUND(MAX(0,IF($W257="Straight-line",IF(N($V257)&lt;=0,0,($S257-N($U257))*MIN($AK257,$V257)/$V257),IF($W257="Reducing balance",MIN(($S257-N($U257)),$S257-$S257*(1-N($AG257))^INT($AK257/12)*(1-N($AG257)*MOD($AK257,12)/12)),IF($W257="DDB",IF(N($V257)&lt;=0,0,MIN(($S257-N($U257)),$S257-$S257*(1-MIN(1,24/$V257))^INT($AK257/12)*(1-MIN(1,24/$V257)*MOD($AK257,12)/12))),IF($W257="SYD",IF(N($V257)&lt;=0,0,($S257-N($U257))*(INT(MIN($AK257,$V257)/12)*(2*($V257/12)-INT(MIN($AK257,$V257)/12)+1)/2+MOD(MIN($AK257,$V257),12)/12*(($V257/12)-INT(MIN($AK257,$V257)/12)))/(($V257/12)*(($V257/12)+1)/2)),0))))),2))</f>
        <v/>
      </c>
      <c r="AM257" s="23">
        <f>IF($X257="","",$X257-$AL257)</f>
        <v/>
      </c>
      <c r="AN257" s="23">
        <f>IF(OR($AH257="",$Y257=""),"",N($AI257)-$Y257)</f>
        <v/>
      </c>
    </row>
    <row r="258">
      <c r="Q258" s="20" t="n"/>
      <c r="R258" s="20" t="n"/>
      <c r="S258" s="21" t="n"/>
      <c r="U258" s="21" t="n"/>
      <c r="V258" s="22" t="n"/>
      <c r="X258" s="23">
        <f>IF(OR($S258="",$R258=""),"",ROUND(MAX(0,IF($W258="Straight-line",IF(N($V258)&lt;=0,0,($S258-N($U258))*MIN($AJ258,$V258)/$V258),IF($W258="Reducing balance",MIN(($S258-N($U258)),$S258-$S258*(1-N($AG258))^INT($AJ258/12)*(1-N($AG258)*MOD($AJ258,12)/12)),IF($W258="DDB",IF(N($V258)&lt;=0,0,MIN(($S258-N($U258)),$S258-$S258*(1-MIN(1,24/$V258))^INT($AJ258/12)*(1-MIN(1,24/$V258)*MOD($AJ258,12)/12))),IF($W258="SYD",IF(N($V258)&lt;=0,0,($S258-N($U258))*(INT(MIN($AJ258,$V258)/12)*(2*($V258/12)-INT(MIN($AJ258,$V258)/12)+1)/2+MOD(MIN($AJ258,$V258),12)/12*(($V258/12)-INT(MIN($AJ258,$V258)/12)))/(($V258/12)*(($V258/12)+1)/2)),0))))),2))</f>
        <v/>
      </c>
      <c r="Y258" s="23">
        <f>IF($X258="","",$S258-$X258)</f>
        <v/>
      </c>
      <c r="AD258" s="20" t="n"/>
      <c r="AG258" s="24" t="n"/>
      <c r="AH258" s="20" t="n"/>
      <c r="AI258" s="21" t="n"/>
      <c r="AJ258" s="25">
        <f>IF($R258="","",IF($R258&gt;IF($AH258&lt;&gt;"",MIN($AH258,Settings!$B$3),Settings!$B$3),0,(YEAR(IF($AH258&lt;&gt;"",MIN($AH258,Settings!$B$3),Settings!$B$3))-YEAR($R258))*12+MONTH(IF($AH258&lt;&gt;"",MIN($AH258,Settings!$B$3),Settings!$B$3))-MONTH($R258)+1))</f>
        <v/>
      </c>
      <c r="AK258" s="25">
        <f>IF($R258="","",IF($R258&gt;MIN(Settings!$B$4-1,IF($AH258&lt;&gt;"",MIN($AH258,Settings!$B$3),Settings!$B$3)),0,(YEAR(MIN(Settings!$B$4-1,IF($AH258&lt;&gt;"",MIN($AH258,Settings!$B$3),Settings!$B$3)))-YEAR($R258))*12+MONTH(MIN(Settings!$B$4-1,IF($AH258&lt;&gt;"",MIN($AH258,Settings!$B$3),Settings!$B$3)))-MONTH($R258)+1))</f>
        <v/>
      </c>
      <c r="AL258" s="23">
        <f>IF(OR($S258="",$R258=""),"",ROUND(MAX(0,IF($W258="Straight-line",IF(N($V258)&lt;=0,0,($S258-N($U258))*MIN($AK258,$V258)/$V258),IF($W258="Reducing balance",MIN(($S258-N($U258)),$S258-$S258*(1-N($AG258))^INT($AK258/12)*(1-N($AG258)*MOD($AK258,12)/12)),IF($W258="DDB",IF(N($V258)&lt;=0,0,MIN(($S258-N($U258)),$S258-$S258*(1-MIN(1,24/$V258))^INT($AK258/12)*(1-MIN(1,24/$V258)*MOD($AK258,12)/12))),IF($W258="SYD",IF(N($V258)&lt;=0,0,($S258-N($U258))*(INT(MIN($AK258,$V258)/12)*(2*($V258/12)-INT(MIN($AK258,$V258)/12)+1)/2+MOD(MIN($AK258,$V258),12)/12*(($V258/12)-INT(MIN($AK258,$V258)/12)))/(($V258/12)*(($V258/12)+1)/2)),0))))),2))</f>
        <v/>
      </c>
      <c r="AM258" s="23">
        <f>IF($X258="","",$X258-$AL258)</f>
        <v/>
      </c>
      <c r="AN258" s="23">
        <f>IF(OR($AH258="",$Y258=""),"",N($AI258)-$Y258)</f>
        <v/>
      </c>
    </row>
    <row r="259">
      <c r="Q259" s="20" t="n"/>
      <c r="R259" s="20" t="n"/>
      <c r="S259" s="21" t="n"/>
      <c r="U259" s="21" t="n"/>
      <c r="V259" s="22" t="n"/>
      <c r="X259" s="23">
        <f>IF(OR($S259="",$R259=""),"",ROUND(MAX(0,IF($W259="Straight-line",IF(N($V259)&lt;=0,0,($S259-N($U259))*MIN($AJ259,$V259)/$V259),IF($W259="Reducing balance",MIN(($S259-N($U259)),$S259-$S259*(1-N($AG259))^INT($AJ259/12)*(1-N($AG259)*MOD($AJ259,12)/12)),IF($W259="DDB",IF(N($V259)&lt;=0,0,MIN(($S259-N($U259)),$S259-$S259*(1-MIN(1,24/$V259))^INT($AJ259/12)*(1-MIN(1,24/$V259)*MOD($AJ259,12)/12))),IF($W259="SYD",IF(N($V259)&lt;=0,0,($S259-N($U259))*(INT(MIN($AJ259,$V259)/12)*(2*($V259/12)-INT(MIN($AJ259,$V259)/12)+1)/2+MOD(MIN($AJ259,$V259),12)/12*(($V259/12)-INT(MIN($AJ259,$V259)/12)))/(($V259/12)*(($V259/12)+1)/2)),0))))),2))</f>
        <v/>
      </c>
      <c r="Y259" s="23">
        <f>IF($X259="","",$S259-$X259)</f>
        <v/>
      </c>
      <c r="AD259" s="20" t="n"/>
      <c r="AG259" s="24" t="n"/>
      <c r="AH259" s="20" t="n"/>
      <c r="AI259" s="21" t="n"/>
      <c r="AJ259" s="25">
        <f>IF($R259="","",IF($R259&gt;IF($AH259&lt;&gt;"",MIN($AH259,Settings!$B$3),Settings!$B$3),0,(YEAR(IF($AH259&lt;&gt;"",MIN($AH259,Settings!$B$3),Settings!$B$3))-YEAR($R259))*12+MONTH(IF($AH259&lt;&gt;"",MIN($AH259,Settings!$B$3),Settings!$B$3))-MONTH($R259)+1))</f>
        <v/>
      </c>
      <c r="AK259" s="25">
        <f>IF($R259="","",IF($R259&gt;MIN(Settings!$B$4-1,IF($AH259&lt;&gt;"",MIN($AH259,Settings!$B$3),Settings!$B$3)),0,(YEAR(MIN(Settings!$B$4-1,IF($AH259&lt;&gt;"",MIN($AH259,Settings!$B$3),Settings!$B$3)))-YEAR($R259))*12+MONTH(MIN(Settings!$B$4-1,IF($AH259&lt;&gt;"",MIN($AH259,Settings!$B$3),Settings!$B$3)))-MONTH($R259)+1))</f>
        <v/>
      </c>
      <c r="AL259" s="23">
        <f>IF(OR($S259="",$R259=""),"",ROUND(MAX(0,IF($W259="Straight-line",IF(N($V259)&lt;=0,0,($S259-N($U259))*MIN($AK259,$V259)/$V259),IF($W259="Reducing balance",MIN(($S259-N($U259)),$S259-$S259*(1-N($AG259))^INT($AK259/12)*(1-N($AG259)*MOD($AK259,12)/12)),IF($W259="DDB",IF(N($V259)&lt;=0,0,MIN(($S259-N($U259)),$S259-$S259*(1-MIN(1,24/$V259))^INT($AK259/12)*(1-MIN(1,24/$V259)*MOD($AK259,12)/12))),IF($W259="SYD",IF(N($V259)&lt;=0,0,($S259-N($U259))*(INT(MIN($AK259,$V259)/12)*(2*($V259/12)-INT(MIN($AK259,$V259)/12)+1)/2+MOD(MIN($AK259,$V259),12)/12*(($V259/12)-INT(MIN($AK259,$V259)/12)))/(($V259/12)*(($V259/12)+1)/2)),0))))),2))</f>
        <v/>
      </c>
      <c r="AM259" s="23">
        <f>IF($X259="","",$X259-$AL259)</f>
        <v/>
      </c>
      <c r="AN259" s="23">
        <f>IF(OR($AH259="",$Y259=""),"",N($AI259)-$Y259)</f>
        <v/>
      </c>
    </row>
    <row r="260">
      <c r="Q260" s="20" t="n"/>
      <c r="R260" s="20" t="n"/>
      <c r="S260" s="21" t="n"/>
      <c r="U260" s="21" t="n"/>
      <c r="V260" s="22" t="n"/>
      <c r="X260" s="23">
        <f>IF(OR($S260="",$R260=""),"",ROUND(MAX(0,IF($W260="Straight-line",IF(N($V260)&lt;=0,0,($S260-N($U260))*MIN($AJ260,$V260)/$V260),IF($W260="Reducing balance",MIN(($S260-N($U260)),$S260-$S260*(1-N($AG260))^INT($AJ260/12)*(1-N($AG260)*MOD($AJ260,12)/12)),IF($W260="DDB",IF(N($V260)&lt;=0,0,MIN(($S260-N($U260)),$S260-$S260*(1-MIN(1,24/$V260))^INT($AJ260/12)*(1-MIN(1,24/$V260)*MOD($AJ260,12)/12))),IF($W260="SYD",IF(N($V260)&lt;=0,0,($S260-N($U260))*(INT(MIN($AJ260,$V260)/12)*(2*($V260/12)-INT(MIN($AJ260,$V260)/12)+1)/2+MOD(MIN($AJ260,$V260),12)/12*(($V260/12)-INT(MIN($AJ260,$V260)/12)))/(($V260/12)*(($V260/12)+1)/2)),0))))),2))</f>
        <v/>
      </c>
      <c r="Y260" s="23">
        <f>IF($X260="","",$S260-$X260)</f>
        <v/>
      </c>
      <c r="AD260" s="20" t="n"/>
      <c r="AG260" s="24" t="n"/>
      <c r="AH260" s="20" t="n"/>
      <c r="AI260" s="21" t="n"/>
      <c r="AJ260" s="25">
        <f>IF($R260="","",IF($R260&gt;IF($AH260&lt;&gt;"",MIN($AH260,Settings!$B$3),Settings!$B$3),0,(YEAR(IF($AH260&lt;&gt;"",MIN($AH260,Settings!$B$3),Settings!$B$3))-YEAR($R260))*12+MONTH(IF($AH260&lt;&gt;"",MIN($AH260,Settings!$B$3),Settings!$B$3))-MONTH($R260)+1))</f>
        <v/>
      </c>
      <c r="AK260" s="25">
        <f>IF($R260="","",IF($R260&gt;MIN(Settings!$B$4-1,IF($AH260&lt;&gt;"",MIN($AH260,Settings!$B$3),Settings!$B$3)),0,(YEAR(MIN(Settings!$B$4-1,IF($AH260&lt;&gt;"",MIN($AH260,Settings!$B$3),Settings!$B$3)))-YEAR($R260))*12+MONTH(MIN(Settings!$B$4-1,IF($AH260&lt;&gt;"",MIN($AH260,Settings!$B$3),Settings!$B$3)))-MONTH($R260)+1))</f>
        <v/>
      </c>
      <c r="AL260" s="23">
        <f>IF(OR($S260="",$R260=""),"",ROUND(MAX(0,IF($W260="Straight-line",IF(N($V260)&lt;=0,0,($S260-N($U260))*MIN($AK260,$V260)/$V260),IF($W260="Reducing balance",MIN(($S260-N($U260)),$S260-$S260*(1-N($AG260))^INT($AK260/12)*(1-N($AG260)*MOD($AK260,12)/12)),IF($W260="DDB",IF(N($V260)&lt;=0,0,MIN(($S260-N($U260)),$S260-$S260*(1-MIN(1,24/$V260))^INT($AK260/12)*(1-MIN(1,24/$V260)*MOD($AK260,12)/12))),IF($W260="SYD",IF(N($V260)&lt;=0,0,($S260-N($U260))*(INT(MIN($AK260,$V260)/12)*(2*($V260/12)-INT(MIN($AK260,$V260)/12)+1)/2+MOD(MIN($AK260,$V260),12)/12*(($V260/12)-INT(MIN($AK260,$V260)/12)))/(($V260/12)*(($V260/12)+1)/2)),0))))),2))</f>
        <v/>
      </c>
      <c r="AM260" s="23">
        <f>IF($X260="","",$X260-$AL260)</f>
        <v/>
      </c>
      <c r="AN260" s="23">
        <f>IF(OR($AH260="",$Y260=""),"",N($AI260)-$Y260)</f>
        <v/>
      </c>
    </row>
    <row r="261">
      <c r="Q261" s="20" t="n"/>
      <c r="R261" s="20" t="n"/>
      <c r="S261" s="21" t="n"/>
      <c r="U261" s="21" t="n"/>
      <c r="V261" s="22" t="n"/>
      <c r="X261" s="23">
        <f>IF(OR($S261="",$R261=""),"",ROUND(MAX(0,IF($W261="Straight-line",IF(N($V261)&lt;=0,0,($S261-N($U261))*MIN($AJ261,$V261)/$V261),IF($W261="Reducing balance",MIN(($S261-N($U261)),$S261-$S261*(1-N($AG261))^INT($AJ261/12)*(1-N($AG261)*MOD($AJ261,12)/12)),IF($W261="DDB",IF(N($V261)&lt;=0,0,MIN(($S261-N($U261)),$S261-$S261*(1-MIN(1,24/$V261))^INT($AJ261/12)*(1-MIN(1,24/$V261)*MOD($AJ261,12)/12))),IF($W261="SYD",IF(N($V261)&lt;=0,0,($S261-N($U261))*(INT(MIN($AJ261,$V261)/12)*(2*($V261/12)-INT(MIN($AJ261,$V261)/12)+1)/2+MOD(MIN($AJ261,$V261),12)/12*(($V261/12)-INT(MIN($AJ261,$V261)/12)))/(($V261/12)*(($V261/12)+1)/2)),0))))),2))</f>
        <v/>
      </c>
      <c r="Y261" s="23">
        <f>IF($X261="","",$S261-$X261)</f>
        <v/>
      </c>
      <c r="AD261" s="20" t="n"/>
      <c r="AG261" s="24" t="n"/>
      <c r="AH261" s="20" t="n"/>
      <c r="AI261" s="21" t="n"/>
      <c r="AJ261" s="25">
        <f>IF($R261="","",IF($R261&gt;IF($AH261&lt;&gt;"",MIN($AH261,Settings!$B$3),Settings!$B$3),0,(YEAR(IF($AH261&lt;&gt;"",MIN($AH261,Settings!$B$3),Settings!$B$3))-YEAR($R261))*12+MONTH(IF($AH261&lt;&gt;"",MIN($AH261,Settings!$B$3),Settings!$B$3))-MONTH($R261)+1))</f>
        <v/>
      </c>
      <c r="AK261" s="25">
        <f>IF($R261="","",IF($R261&gt;MIN(Settings!$B$4-1,IF($AH261&lt;&gt;"",MIN($AH261,Settings!$B$3),Settings!$B$3)),0,(YEAR(MIN(Settings!$B$4-1,IF($AH261&lt;&gt;"",MIN($AH261,Settings!$B$3),Settings!$B$3)))-YEAR($R261))*12+MONTH(MIN(Settings!$B$4-1,IF($AH261&lt;&gt;"",MIN($AH261,Settings!$B$3),Settings!$B$3)))-MONTH($R261)+1))</f>
        <v/>
      </c>
      <c r="AL261" s="23">
        <f>IF(OR($S261="",$R261=""),"",ROUND(MAX(0,IF($W261="Straight-line",IF(N($V261)&lt;=0,0,($S261-N($U261))*MIN($AK261,$V261)/$V261),IF($W261="Reducing balance",MIN(($S261-N($U261)),$S261-$S261*(1-N($AG261))^INT($AK261/12)*(1-N($AG261)*MOD($AK261,12)/12)),IF($W261="DDB",IF(N($V261)&lt;=0,0,MIN(($S261-N($U261)),$S261-$S261*(1-MIN(1,24/$V261))^INT($AK261/12)*(1-MIN(1,24/$V261)*MOD($AK261,12)/12))),IF($W261="SYD",IF(N($V261)&lt;=0,0,($S261-N($U261))*(INT(MIN($AK261,$V261)/12)*(2*($V261/12)-INT(MIN($AK261,$V261)/12)+1)/2+MOD(MIN($AK261,$V261),12)/12*(($V261/12)-INT(MIN($AK261,$V261)/12)))/(($V261/12)*(($V261/12)+1)/2)),0))))),2))</f>
        <v/>
      </c>
      <c r="AM261" s="23">
        <f>IF($X261="","",$X261-$AL261)</f>
        <v/>
      </c>
      <c r="AN261" s="23">
        <f>IF(OR($AH261="",$Y261=""),"",N($AI261)-$Y261)</f>
        <v/>
      </c>
    </row>
    <row r="262">
      <c r="Q262" s="20" t="n"/>
      <c r="R262" s="20" t="n"/>
      <c r="S262" s="21" t="n"/>
      <c r="U262" s="21" t="n"/>
      <c r="V262" s="22" t="n"/>
      <c r="X262" s="23">
        <f>IF(OR($S262="",$R262=""),"",ROUND(MAX(0,IF($W262="Straight-line",IF(N($V262)&lt;=0,0,($S262-N($U262))*MIN($AJ262,$V262)/$V262),IF($W262="Reducing balance",MIN(($S262-N($U262)),$S262-$S262*(1-N($AG262))^INT($AJ262/12)*(1-N($AG262)*MOD($AJ262,12)/12)),IF($W262="DDB",IF(N($V262)&lt;=0,0,MIN(($S262-N($U262)),$S262-$S262*(1-MIN(1,24/$V262))^INT($AJ262/12)*(1-MIN(1,24/$V262)*MOD($AJ262,12)/12))),IF($W262="SYD",IF(N($V262)&lt;=0,0,($S262-N($U262))*(INT(MIN($AJ262,$V262)/12)*(2*($V262/12)-INT(MIN($AJ262,$V262)/12)+1)/2+MOD(MIN($AJ262,$V262),12)/12*(($V262/12)-INT(MIN($AJ262,$V262)/12)))/(($V262/12)*(($V262/12)+1)/2)),0))))),2))</f>
        <v/>
      </c>
      <c r="Y262" s="23">
        <f>IF($X262="","",$S262-$X262)</f>
        <v/>
      </c>
      <c r="AD262" s="20" t="n"/>
      <c r="AG262" s="24" t="n"/>
      <c r="AH262" s="20" t="n"/>
      <c r="AI262" s="21" t="n"/>
      <c r="AJ262" s="25">
        <f>IF($R262="","",IF($R262&gt;IF($AH262&lt;&gt;"",MIN($AH262,Settings!$B$3),Settings!$B$3),0,(YEAR(IF($AH262&lt;&gt;"",MIN($AH262,Settings!$B$3),Settings!$B$3))-YEAR($R262))*12+MONTH(IF($AH262&lt;&gt;"",MIN($AH262,Settings!$B$3),Settings!$B$3))-MONTH($R262)+1))</f>
        <v/>
      </c>
      <c r="AK262" s="25">
        <f>IF($R262="","",IF($R262&gt;MIN(Settings!$B$4-1,IF($AH262&lt;&gt;"",MIN($AH262,Settings!$B$3),Settings!$B$3)),0,(YEAR(MIN(Settings!$B$4-1,IF($AH262&lt;&gt;"",MIN($AH262,Settings!$B$3),Settings!$B$3)))-YEAR($R262))*12+MONTH(MIN(Settings!$B$4-1,IF($AH262&lt;&gt;"",MIN($AH262,Settings!$B$3),Settings!$B$3)))-MONTH($R262)+1))</f>
        <v/>
      </c>
      <c r="AL262" s="23">
        <f>IF(OR($S262="",$R262=""),"",ROUND(MAX(0,IF($W262="Straight-line",IF(N($V262)&lt;=0,0,($S262-N($U262))*MIN($AK262,$V262)/$V262),IF($W262="Reducing balance",MIN(($S262-N($U262)),$S262-$S262*(1-N($AG262))^INT($AK262/12)*(1-N($AG262)*MOD($AK262,12)/12)),IF($W262="DDB",IF(N($V262)&lt;=0,0,MIN(($S262-N($U262)),$S262-$S262*(1-MIN(1,24/$V262))^INT($AK262/12)*(1-MIN(1,24/$V262)*MOD($AK262,12)/12))),IF($W262="SYD",IF(N($V262)&lt;=0,0,($S262-N($U262))*(INT(MIN($AK262,$V262)/12)*(2*($V262/12)-INT(MIN($AK262,$V262)/12)+1)/2+MOD(MIN($AK262,$V262),12)/12*(($V262/12)-INT(MIN($AK262,$V262)/12)))/(($V262/12)*(($V262/12)+1)/2)),0))))),2))</f>
        <v/>
      </c>
      <c r="AM262" s="23">
        <f>IF($X262="","",$X262-$AL262)</f>
        <v/>
      </c>
      <c r="AN262" s="23">
        <f>IF(OR($AH262="",$Y262=""),"",N($AI262)-$Y262)</f>
        <v/>
      </c>
    </row>
    <row r="263">
      <c r="Q263" s="20" t="n"/>
      <c r="R263" s="20" t="n"/>
      <c r="S263" s="21" t="n"/>
      <c r="U263" s="21" t="n"/>
      <c r="V263" s="22" t="n"/>
      <c r="X263" s="23">
        <f>IF(OR($S263="",$R263=""),"",ROUND(MAX(0,IF($W263="Straight-line",IF(N($V263)&lt;=0,0,($S263-N($U263))*MIN($AJ263,$V263)/$V263),IF($W263="Reducing balance",MIN(($S263-N($U263)),$S263-$S263*(1-N($AG263))^INT($AJ263/12)*(1-N($AG263)*MOD($AJ263,12)/12)),IF($W263="DDB",IF(N($V263)&lt;=0,0,MIN(($S263-N($U263)),$S263-$S263*(1-MIN(1,24/$V263))^INT($AJ263/12)*(1-MIN(1,24/$V263)*MOD($AJ263,12)/12))),IF($W263="SYD",IF(N($V263)&lt;=0,0,($S263-N($U263))*(INT(MIN($AJ263,$V263)/12)*(2*($V263/12)-INT(MIN($AJ263,$V263)/12)+1)/2+MOD(MIN($AJ263,$V263),12)/12*(($V263/12)-INT(MIN($AJ263,$V263)/12)))/(($V263/12)*(($V263/12)+1)/2)),0))))),2))</f>
        <v/>
      </c>
      <c r="Y263" s="23">
        <f>IF($X263="","",$S263-$X263)</f>
        <v/>
      </c>
      <c r="AD263" s="20" t="n"/>
      <c r="AG263" s="24" t="n"/>
      <c r="AH263" s="20" t="n"/>
      <c r="AI263" s="21" t="n"/>
      <c r="AJ263" s="25">
        <f>IF($R263="","",IF($R263&gt;IF($AH263&lt;&gt;"",MIN($AH263,Settings!$B$3),Settings!$B$3),0,(YEAR(IF($AH263&lt;&gt;"",MIN($AH263,Settings!$B$3),Settings!$B$3))-YEAR($R263))*12+MONTH(IF($AH263&lt;&gt;"",MIN($AH263,Settings!$B$3),Settings!$B$3))-MONTH($R263)+1))</f>
        <v/>
      </c>
      <c r="AK263" s="25">
        <f>IF($R263="","",IF($R263&gt;MIN(Settings!$B$4-1,IF($AH263&lt;&gt;"",MIN($AH263,Settings!$B$3),Settings!$B$3)),0,(YEAR(MIN(Settings!$B$4-1,IF($AH263&lt;&gt;"",MIN($AH263,Settings!$B$3),Settings!$B$3)))-YEAR($R263))*12+MONTH(MIN(Settings!$B$4-1,IF($AH263&lt;&gt;"",MIN($AH263,Settings!$B$3),Settings!$B$3)))-MONTH($R263)+1))</f>
        <v/>
      </c>
      <c r="AL263" s="23">
        <f>IF(OR($S263="",$R263=""),"",ROUND(MAX(0,IF($W263="Straight-line",IF(N($V263)&lt;=0,0,($S263-N($U263))*MIN($AK263,$V263)/$V263),IF($W263="Reducing balance",MIN(($S263-N($U263)),$S263-$S263*(1-N($AG263))^INT($AK263/12)*(1-N($AG263)*MOD($AK263,12)/12)),IF($W263="DDB",IF(N($V263)&lt;=0,0,MIN(($S263-N($U263)),$S263-$S263*(1-MIN(1,24/$V263))^INT($AK263/12)*(1-MIN(1,24/$V263)*MOD($AK263,12)/12))),IF($W263="SYD",IF(N($V263)&lt;=0,0,($S263-N($U263))*(INT(MIN($AK263,$V263)/12)*(2*($V263/12)-INT(MIN($AK263,$V263)/12)+1)/2+MOD(MIN($AK263,$V263),12)/12*(($V263/12)-INT(MIN($AK263,$V263)/12)))/(($V263/12)*(($V263/12)+1)/2)),0))))),2))</f>
        <v/>
      </c>
      <c r="AM263" s="23">
        <f>IF($X263="","",$X263-$AL263)</f>
        <v/>
      </c>
      <c r="AN263" s="23">
        <f>IF(OR($AH263="",$Y263=""),"",N($AI263)-$Y263)</f>
        <v/>
      </c>
    </row>
    <row r="264">
      <c r="Q264" s="20" t="n"/>
      <c r="R264" s="20" t="n"/>
      <c r="S264" s="21" t="n"/>
      <c r="U264" s="21" t="n"/>
      <c r="V264" s="22" t="n"/>
      <c r="X264" s="23">
        <f>IF(OR($S264="",$R264=""),"",ROUND(MAX(0,IF($W264="Straight-line",IF(N($V264)&lt;=0,0,($S264-N($U264))*MIN($AJ264,$V264)/$V264),IF($W264="Reducing balance",MIN(($S264-N($U264)),$S264-$S264*(1-N($AG264))^INT($AJ264/12)*(1-N($AG264)*MOD($AJ264,12)/12)),IF($W264="DDB",IF(N($V264)&lt;=0,0,MIN(($S264-N($U264)),$S264-$S264*(1-MIN(1,24/$V264))^INT($AJ264/12)*(1-MIN(1,24/$V264)*MOD($AJ264,12)/12))),IF($W264="SYD",IF(N($V264)&lt;=0,0,($S264-N($U264))*(INT(MIN($AJ264,$V264)/12)*(2*($V264/12)-INT(MIN($AJ264,$V264)/12)+1)/2+MOD(MIN($AJ264,$V264),12)/12*(($V264/12)-INT(MIN($AJ264,$V264)/12)))/(($V264/12)*(($V264/12)+1)/2)),0))))),2))</f>
        <v/>
      </c>
      <c r="Y264" s="23">
        <f>IF($X264="","",$S264-$X264)</f>
        <v/>
      </c>
      <c r="AD264" s="20" t="n"/>
      <c r="AG264" s="24" t="n"/>
      <c r="AH264" s="20" t="n"/>
      <c r="AI264" s="21" t="n"/>
      <c r="AJ264" s="25">
        <f>IF($R264="","",IF($R264&gt;IF($AH264&lt;&gt;"",MIN($AH264,Settings!$B$3),Settings!$B$3),0,(YEAR(IF($AH264&lt;&gt;"",MIN($AH264,Settings!$B$3),Settings!$B$3))-YEAR($R264))*12+MONTH(IF($AH264&lt;&gt;"",MIN($AH264,Settings!$B$3),Settings!$B$3))-MONTH($R264)+1))</f>
        <v/>
      </c>
      <c r="AK264" s="25">
        <f>IF($R264="","",IF($R264&gt;MIN(Settings!$B$4-1,IF($AH264&lt;&gt;"",MIN($AH264,Settings!$B$3),Settings!$B$3)),0,(YEAR(MIN(Settings!$B$4-1,IF($AH264&lt;&gt;"",MIN($AH264,Settings!$B$3),Settings!$B$3)))-YEAR($R264))*12+MONTH(MIN(Settings!$B$4-1,IF($AH264&lt;&gt;"",MIN($AH264,Settings!$B$3),Settings!$B$3)))-MONTH($R264)+1))</f>
        <v/>
      </c>
      <c r="AL264" s="23">
        <f>IF(OR($S264="",$R264=""),"",ROUND(MAX(0,IF($W264="Straight-line",IF(N($V264)&lt;=0,0,($S264-N($U264))*MIN($AK264,$V264)/$V264),IF($W264="Reducing balance",MIN(($S264-N($U264)),$S264-$S264*(1-N($AG264))^INT($AK264/12)*(1-N($AG264)*MOD($AK264,12)/12)),IF($W264="DDB",IF(N($V264)&lt;=0,0,MIN(($S264-N($U264)),$S264-$S264*(1-MIN(1,24/$V264))^INT($AK264/12)*(1-MIN(1,24/$V264)*MOD($AK264,12)/12))),IF($W264="SYD",IF(N($V264)&lt;=0,0,($S264-N($U264))*(INT(MIN($AK264,$V264)/12)*(2*($V264/12)-INT(MIN($AK264,$V264)/12)+1)/2+MOD(MIN($AK264,$V264),12)/12*(($V264/12)-INT(MIN($AK264,$V264)/12)))/(($V264/12)*(($V264/12)+1)/2)),0))))),2))</f>
        <v/>
      </c>
      <c r="AM264" s="23">
        <f>IF($X264="","",$X264-$AL264)</f>
        <v/>
      </c>
      <c r="AN264" s="23">
        <f>IF(OR($AH264="",$Y264=""),"",N($AI264)-$Y264)</f>
        <v/>
      </c>
    </row>
    <row r="265">
      <c r="Q265" s="20" t="n"/>
      <c r="R265" s="20" t="n"/>
      <c r="S265" s="21" t="n"/>
      <c r="U265" s="21" t="n"/>
      <c r="V265" s="22" t="n"/>
      <c r="X265" s="23">
        <f>IF(OR($S265="",$R265=""),"",ROUND(MAX(0,IF($W265="Straight-line",IF(N($V265)&lt;=0,0,($S265-N($U265))*MIN($AJ265,$V265)/$V265),IF($W265="Reducing balance",MIN(($S265-N($U265)),$S265-$S265*(1-N($AG265))^INT($AJ265/12)*(1-N($AG265)*MOD($AJ265,12)/12)),IF($W265="DDB",IF(N($V265)&lt;=0,0,MIN(($S265-N($U265)),$S265-$S265*(1-MIN(1,24/$V265))^INT($AJ265/12)*(1-MIN(1,24/$V265)*MOD($AJ265,12)/12))),IF($W265="SYD",IF(N($V265)&lt;=0,0,($S265-N($U265))*(INT(MIN($AJ265,$V265)/12)*(2*($V265/12)-INT(MIN($AJ265,$V265)/12)+1)/2+MOD(MIN($AJ265,$V265),12)/12*(($V265/12)-INT(MIN($AJ265,$V265)/12)))/(($V265/12)*(($V265/12)+1)/2)),0))))),2))</f>
        <v/>
      </c>
      <c r="Y265" s="23">
        <f>IF($X265="","",$S265-$X265)</f>
        <v/>
      </c>
      <c r="AD265" s="20" t="n"/>
      <c r="AG265" s="24" t="n"/>
      <c r="AH265" s="20" t="n"/>
      <c r="AI265" s="21" t="n"/>
      <c r="AJ265" s="25">
        <f>IF($R265="","",IF($R265&gt;IF($AH265&lt;&gt;"",MIN($AH265,Settings!$B$3),Settings!$B$3),0,(YEAR(IF($AH265&lt;&gt;"",MIN($AH265,Settings!$B$3),Settings!$B$3))-YEAR($R265))*12+MONTH(IF($AH265&lt;&gt;"",MIN($AH265,Settings!$B$3),Settings!$B$3))-MONTH($R265)+1))</f>
        <v/>
      </c>
      <c r="AK265" s="25">
        <f>IF($R265="","",IF($R265&gt;MIN(Settings!$B$4-1,IF($AH265&lt;&gt;"",MIN($AH265,Settings!$B$3),Settings!$B$3)),0,(YEAR(MIN(Settings!$B$4-1,IF($AH265&lt;&gt;"",MIN($AH265,Settings!$B$3),Settings!$B$3)))-YEAR($R265))*12+MONTH(MIN(Settings!$B$4-1,IF($AH265&lt;&gt;"",MIN($AH265,Settings!$B$3),Settings!$B$3)))-MONTH($R265)+1))</f>
        <v/>
      </c>
      <c r="AL265" s="23">
        <f>IF(OR($S265="",$R265=""),"",ROUND(MAX(0,IF($W265="Straight-line",IF(N($V265)&lt;=0,0,($S265-N($U265))*MIN($AK265,$V265)/$V265),IF($W265="Reducing balance",MIN(($S265-N($U265)),$S265-$S265*(1-N($AG265))^INT($AK265/12)*(1-N($AG265)*MOD($AK265,12)/12)),IF($W265="DDB",IF(N($V265)&lt;=0,0,MIN(($S265-N($U265)),$S265-$S265*(1-MIN(1,24/$V265))^INT($AK265/12)*(1-MIN(1,24/$V265)*MOD($AK265,12)/12))),IF($W265="SYD",IF(N($V265)&lt;=0,0,($S265-N($U265))*(INT(MIN($AK265,$V265)/12)*(2*($V265/12)-INT(MIN($AK265,$V265)/12)+1)/2+MOD(MIN($AK265,$V265),12)/12*(($V265/12)-INT(MIN($AK265,$V265)/12)))/(($V265/12)*(($V265/12)+1)/2)),0))))),2))</f>
        <v/>
      </c>
      <c r="AM265" s="23">
        <f>IF($X265="","",$X265-$AL265)</f>
        <v/>
      </c>
      <c r="AN265" s="23">
        <f>IF(OR($AH265="",$Y265=""),"",N($AI265)-$Y265)</f>
        <v/>
      </c>
    </row>
    <row r="266">
      <c r="Q266" s="20" t="n"/>
      <c r="R266" s="20" t="n"/>
      <c r="S266" s="21" t="n"/>
      <c r="U266" s="21" t="n"/>
      <c r="V266" s="22" t="n"/>
      <c r="X266" s="23">
        <f>IF(OR($S266="",$R266=""),"",ROUND(MAX(0,IF($W266="Straight-line",IF(N($V266)&lt;=0,0,($S266-N($U266))*MIN($AJ266,$V266)/$V266),IF($W266="Reducing balance",MIN(($S266-N($U266)),$S266-$S266*(1-N($AG266))^INT($AJ266/12)*(1-N($AG266)*MOD($AJ266,12)/12)),IF($W266="DDB",IF(N($V266)&lt;=0,0,MIN(($S266-N($U266)),$S266-$S266*(1-MIN(1,24/$V266))^INT($AJ266/12)*(1-MIN(1,24/$V266)*MOD($AJ266,12)/12))),IF($W266="SYD",IF(N($V266)&lt;=0,0,($S266-N($U266))*(INT(MIN($AJ266,$V266)/12)*(2*($V266/12)-INT(MIN($AJ266,$V266)/12)+1)/2+MOD(MIN($AJ266,$V266),12)/12*(($V266/12)-INT(MIN($AJ266,$V266)/12)))/(($V266/12)*(($V266/12)+1)/2)),0))))),2))</f>
        <v/>
      </c>
      <c r="Y266" s="23">
        <f>IF($X266="","",$S266-$X266)</f>
        <v/>
      </c>
      <c r="AD266" s="20" t="n"/>
      <c r="AG266" s="24" t="n"/>
      <c r="AH266" s="20" t="n"/>
      <c r="AI266" s="21" t="n"/>
      <c r="AJ266" s="25">
        <f>IF($R266="","",IF($R266&gt;IF($AH266&lt;&gt;"",MIN($AH266,Settings!$B$3),Settings!$B$3),0,(YEAR(IF($AH266&lt;&gt;"",MIN($AH266,Settings!$B$3),Settings!$B$3))-YEAR($R266))*12+MONTH(IF($AH266&lt;&gt;"",MIN($AH266,Settings!$B$3),Settings!$B$3))-MONTH($R266)+1))</f>
        <v/>
      </c>
      <c r="AK266" s="25">
        <f>IF($R266="","",IF($R266&gt;MIN(Settings!$B$4-1,IF($AH266&lt;&gt;"",MIN($AH266,Settings!$B$3),Settings!$B$3)),0,(YEAR(MIN(Settings!$B$4-1,IF($AH266&lt;&gt;"",MIN($AH266,Settings!$B$3),Settings!$B$3)))-YEAR($R266))*12+MONTH(MIN(Settings!$B$4-1,IF($AH266&lt;&gt;"",MIN($AH266,Settings!$B$3),Settings!$B$3)))-MONTH($R266)+1))</f>
        <v/>
      </c>
      <c r="AL266" s="23">
        <f>IF(OR($S266="",$R266=""),"",ROUND(MAX(0,IF($W266="Straight-line",IF(N($V266)&lt;=0,0,($S266-N($U266))*MIN($AK266,$V266)/$V266),IF($W266="Reducing balance",MIN(($S266-N($U266)),$S266-$S266*(1-N($AG266))^INT($AK266/12)*(1-N($AG266)*MOD($AK266,12)/12)),IF($W266="DDB",IF(N($V266)&lt;=0,0,MIN(($S266-N($U266)),$S266-$S266*(1-MIN(1,24/$V266))^INT($AK266/12)*(1-MIN(1,24/$V266)*MOD($AK266,12)/12))),IF($W266="SYD",IF(N($V266)&lt;=0,0,($S266-N($U266))*(INT(MIN($AK266,$V266)/12)*(2*($V266/12)-INT(MIN($AK266,$V266)/12)+1)/2+MOD(MIN($AK266,$V266),12)/12*(($V266/12)-INT(MIN($AK266,$V266)/12)))/(($V266/12)*(($V266/12)+1)/2)),0))))),2))</f>
        <v/>
      </c>
      <c r="AM266" s="23">
        <f>IF($X266="","",$X266-$AL266)</f>
        <v/>
      </c>
      <c r="AN266" s="23">
        <f>IF(OR($AH266="",$Y266=""),"",N($AI266)-$Y266)</f>
        <v/>
      </c>
    </row>
    <row r="267">
      <c r="Q267" s="20" t="n"/>
      <c r="R267" s="20" t="n"/>
      <c r="S267" s="21" t="n"/>
      <c r="U267" s="21" t="n"/>
      <c r="V267" s="22" t="n"/>
      <c r="X267" s="23">
        <f>IF(OR($S267="",$R267=""),"",ROUND(MAX(0,IF($W267="Straight-line",IF(N($V267)&lt;=0,0,($S267-N($U267))*MIN($AJ267,$V267)/$V267),IF($W267="Reducing balance",MIN(($S267-N($U267)),$S267-$S267*(1-N($AG267))^INT($AJ267/12)*(1-N($AG267)*MOD($AJ267,12)/12)),IF($W267="DDB",IF(N($V267)&lt;=0,0,MIN(($S267-N($U267)),$S267-$S267*(1-MIN(1,24/$V267))^INT($AJ267/12)*(1-MIN(1,24/$V267)*MOD($AJ267,12)/12))),IF($W267="SYD",IF(N($V267)&lt;=0,0,($S267-N($U267))*(INT(MIN($AJ267,$V267)/12)*(2*($V267/12)-INT(MIN($AJ267,$V267)/12)+1)/2+MOD(MIN($AJ267,$V267),12)/12*(($V267/12)-INT(MIN($AJ267,$V267)/12)))/(($V267/12)*(($V267/12)+1)/2)),0))))),2))</f>
        <v/>
      </c>
      <c r="Y267" s="23">
        <f>IF($X267="","",$S267-$X267)</f>
        <v/>
      </c>
      <c r="AD267" s="20" t="n"/>
      <c r="AG267" s="24" t="n"/>
      <c r="AH267" s="20" t="n"/>
      <c r="AI267" s="21" t="n"/>
      <c r="AJ267" s="25">
        <f>IF($R267="","",IF($R267&gt;IF($AH267&lt;&gt;"",MIN($AH267,Settings!$B$3),Settings!$B$3),0,(YEAR(IF($AH267&lt;&gt;"",MIN($AH267,Settings!$B$3),Settings!$B$3))-YEAR($R267))*12+MONTH(IF($AH267&lt;&gt;"",MIN($AH267,Settings!$B$3),Settings!$B$3))-MONTH($R267)+1))</f>
        <v/>
      </c>
      <c r="AK267" s="25">
        <f>IF($R267="","",IF($R267&gt;MIN(Settings!$B$4-1,IF($AH267&lt;&gt;"",MIN($AH267,Settings!$B$3),Settings!$B$3)),0,(YEAR(MIN(Settings!$B$4-1,IF($AH267&lt;&gt;"",MIN($AH267,Settings!$B$3),Settings!$B$3)))-YEAR($R267))*12+MONTH(MIN(Settings!$B$4-1,IF($AH267&lt;&gt;"",MIN($AH267,Settings!$B$3),Settings!$B$3)))-MONTH($R267)+1))</f>
        <v/>
      </c>
      <c r="AL267" s="23">
        <f>IF(OR($S267="",$R267=""),"",ROUND(MAX(0,IF($W267="Straight-line",IF(N($V267)&lt;=0,0,($S267-N($U267))*MIN($AK267,$V267)/$V267),IF($W267="Reducing balance",MIN(($S267-N($U267)),$S267-$S267*(1-N($AG267))^INT($AK267/12)*(1-N($AG267)*MOD($AK267,12)/12)),IF($W267="DDB",IF(N($V267)&lt;=0,0,MIN(($S267-N($U267)),$S267-$S267*(1-MIN(1,24/$V267))^INT($AK267/12)*(1-MIN(1,24/$V267)*MOD($AK267,12)/12))),IF($W267="SYD",IF(N($V267)&lt;=0,0,($S267-N($U267))*(INT(MIN($AK267,$V267)/12)*(2*($V267/12)-INT(MIN($AK267,$V267)/12)+1)/2+MOD(MIN($AK267,$V267),12)/12*(($V267/12)-INT(MIN($AK267,$V267)/12)))/(($V267/12)*(($V267/12)+1)/2)),0))))),2))</f>
        <v/>
      </c>
      <c r="AM267" s="23">
        <f>IF($X267="","",$X267-$AL267)</f>
        <v/>
      </c>
      <c r="AN267" s="23">
        <f>IF(OR($AH267="",$Y267=""),"",N($AI267)-$Y267)</f>
        <v/>
      </c>
    </row>
    <row r="268">
      <c r="Q268" s="20" t="n"/>
      <c r="R268" s="20" t="n"/>
      <c r="S268" s="21" t="n"/>
      <c r="U268" s="21" t="n"/>
      <c r="V268" s="22" t="n"/>
      <c r="X268" s="23">
        <f>IF(OR($S268="",$R268=""),"",ROUND(MAX(0,IF($W268="Straight-line",IF(N($V268)&lt;=0,0,($S268-N($U268))*MIN($AJ268,$V268)/$V268),IF($W268="Reducing balance",MIN(($S268-N($U268)),$S268-$S268*(1-N($AG268))^INT($AJ268/12)*(1-N($AG268)*MOD($AJ268,12)/12)),IF($W268="DDB",IF(N($V268)&lt;=0,0,MIN(($S268-N($U268)),$S268-$S268*(1-MIN(1,24/$V268))^INT($AJ268/12)*(1-MIN(1,24/$V268)*MOD($AJ268,12)/12))),IF($W268="SYD",IF(N($V268)&lt;=0,0,($S268-N($U268))*(INT(MIN($AJ268,$V268)/12)*(2*($V268/12)-INT(MIN($AJ268,$V268)/12)+1)/2+MOD(MIN($AJ268,$V268),12)/12*(($V268/12)-INT(MIN($AJ268,$V268)/12)))/(($V268/12)*(($V268/12)+1)/2)),0))))),2))</f>
        <v/>
      </c>
      <c r="Y268" s="23">
        <f>IF($X268="","",$S268-$X268)</f>
        <v/>
      </c>
      <c r="AD268" s="20" t="n"/>
      <c r="AG268" s="24" t="n"/>
      <c r="AH268" s="20" t="n"/>
      <c r="AI268" s="21" t="n"/>
      <c r="AJ268" s="25">
        <f>IF($R268="","",IF($R268&gt;IF($AH268&lt;&gt;"",MIN($AH268,Settings!$B$3),Settings!$B$3),0,(YEAR(IF($AH268&lt;&gt;"",MIN($AH268,Settings!$B$3),Settings!$B$3))-YEAR($R268))*12+MONTH(IF($AH268&lt;&gt;"",MIN($AH268,Settings!$B$3),Settings!$B$3))-MONTH($R268)+1))</f>
        <v/>
      </c>
      <c r="AK268" s="25">
        <f>IF($R268="","",IF($R268&gt;MIN(Settings!$B$4-1,IF($AH268&lt;&gt;"",MIN($AH268,Settings!$B$3),Settings!$B$3)),0,(YEAR(MIN(Settings!$B$4-1,IF($AH268&lt;&gt;"",MIN($AH268,Settings!$B$3),Settings!$B$3)))-YEAR($R268))*12+MONTH(MIN(Settings!$B$4-1,IF($AH268&lt;&gt;"",MIN($AH268,Settings!$B$3),Settings!$B$3)))-MONTH($R268)+1))</f>
        <v/>
      </c>
      <c r="AL268" s="23">
        <f>IF(OR($S268="",$R268=""),"",ROUND(MAX(0,IF($W268="Straight-line",IF(N($V268)&lt;=0,0,($S268-N($U268))*MIN($AK268,$V268)/$V268),IF($W268="Reducing balance",MIN(($S268-N($U268)),$S268-$S268*(1-N($AG268))^INT($AK268/12)*(1-N($AG268)*MOD($AK268,12)/12)),IF($W268="DDB",IF(N($V268)&lt;=0,0,MIN(($S268-N($U268)),$S268-$S268*(1-MIN(1,24/$V268))^INT($AK268/12)*(1-MIN(1,24/$V268)*MOD($AK268,12)/12))),IF($W268="SYD",IF(N($V268)&lt;=0,0,($S268-N($U268))*(INT(MIN($AK268,$V268)/12)*(2*($V268/12)-INT(MIN($AK268,$V268)/12)+1)/2+MOD(MIN($AK268,$V268),12)/12*(($V268/12)-INT(MIN($AK268,$V268)/12)))/(($V268/12)*(($V268/12)+1)/2)),0))))),2))</f>
        <v/>
      </c>
      <c r="AM268" s="23">
        <f>IF($X268="","",$X268-$AL268)</f>
        <v/>
      </c>
      <c r="AN268" s="23">
        <f>IF(OR($AH268="",$Y268=""),"",N($AI268)-$Y268)</f>
        <v/>
      </c>
    </row>
    <row r="269">
      <c r="Q269" s="20" t="n"/>
      <c r="R269" s="20" t="n"/>
      <c r="S269" s="21" t="n"/>
      <c r="U269" s="21" t="n"/>
      <c r="V269" s="22" t="n"/>
      <c r="X269" s="23">
        <f>IF(OR($S269="",$R269=""),"",ROUND(MAX(0,IF($W269="Straight-line",IF(N($V269)&lt;=0,0,($S269-N($U269))*MIN($AJ269,$V269)/$V269),IF($W269="Reducing balance",MIN(($S269-N($U269)),$S269-$S269*(1-N($AG269))^INT($AJ269/12)*(1-N($AG269)*MOD($AJ269,12)/12)),IF($W269="DDB",IF(N($V269)&lt;=0,0,MIN(($S269-N($U269)),$S269-$S269*(1-MIN(1,24/$V269))^INT($AJ269/12)*(1-MIN(1,24/$V269)*MOD($AJ269,12)/12))),IF($W269="SYD",IF(N($V269)&lt;=0,0,($S269-N($U269))*(INT(MIN($AJ269,$V269)/12)*(2*($V269/12)-INT(MIN($AJ269,$V269)/12)+1)/2+MOD(MIN($AJ269,$V269),12)/12*(($V269/12)-INT(MIN($AJ269,$V269)/12)))/(($V269/12)*(($V269/12)+1)/2)),0))))),2))</f>
        <v/>
      </c>
      <c r="Y269" s="23">
        <f>IF($X269="","",$S269-$X269)</f>
        <v/>
      </c>
      <c r="AD269" s="20" t="n"/>
      <c r="AG269" s="24" t="n"/>
      <c r="AH269" s="20" t="n"/>
      <c r="AI269" s="21" t="n"/>
      <c r="AJ269" s="25">
        <f>IF($R269="","",IF($R269&gt;IF($AH269&lt;&gt;"",MIN($AH269,Settings!$B$3),Settings!$B$3),0,(YEAR(IF($AH269&lt;&gt;"",MIN($AH269,Settings!$B$3),Settings!$B$3))-YEAR($R269))*12+MONTH(IF($AH269&lt;&gt;"",MIN($AH269,Settings!$B$3),Settings!$B$3))-MONTH($R269)+1))</f>
        <v/>
      </c>
      <c r="AK269" s="25">
        <f>IF($R269="","",IF($R269&gt;MIN(Settings!$B$4-1,IF($AH269&lt;&gt;"",MIN($AH269,Settings!$B$3),Settings!$B$3)),0,(YEAR(MIN(Settings!$B$4-1,IF($AH269&lt;&gt;"",MIN($AH269,Settings!$B$3),Settings!$B$3)))-YEAR($R269))*12+MONTH(MIN(Settings!$B$4-1,IF($AH269&lt;&gt;"",MIN($AH269,Settings!$B$3),Settings!$B$3)))-MONTH($R269)+1))</f>
        <v/>
      </c>
      <c r="AL269" s="23">
        <f>IF(OR($S269="",$R269=""),"",ROUND(MAX(0,IF($W269="Straight-line",IF(N($V269)&lt;=0,0,($S269-N($U269))*MIN($AK269,$V269)/$V269),IF($W269="Reducing balance",MIN(($S269-N($U269)),$S269-$S269*(1-N($AG269))^INT($AK269/12)*(1-N($AG269)*MOD($AK269,12)/12)),IF($W269="DDB",IF(N($V269)&lt;=0,0,MIN(($S269-N($U269)),$S269-$S269*(1-MIN(1,24/$V269))^INT($AK269/12)*(1-MIN(1,24/$V269)*MOD($AK269,12)/12))),IF($W269="SYD",IF(N($V269)&lt;=0,0,($S269-N($U269))*(INT(MIN($AK269,$V269)/12)*(2*($V269/12)-INT(MIN($AK269,$V269)/12)+1)/2+MOD(MIN($AK269,$V269),12)/12*(($V269/12)-INT(MIN($AK269,$V269)/12)))/(($V269/12)*(($V269/12)+1)/2)),0))))),2))</f>
        <v/>
      </c>
      <c r="AM269" s="23">
        <f>IF($X269="","",$X269-$AL269)</f>
        <v/>
      </c>
      <c r="AN269" s="23">
        <f>IF(OR($AH269="",$Y269=""),"",N($AI269)-$Y269)</f>
        <v/>
      </c>
    </row>
    <row r="270">
      <c r="Q270" s="20" t="n"/>
      <c r="R270" s="20" t="n"/>
      <c r="S270" s="21" t="n"/>
      <c r="U270" s="21" t="n"/>
      <c r="V270" s="22" t="n"/>
      <c r="X270" s="23">
        <f>IF(OR($S270="",$R270=""),"",ROUND(MAX(0,IF($W270="Straight-line",IF(N($V270)&lt;=0,0,($S270-N($U270))*MIN($AJ270,$V270)/$V270),IF($W270="Reducing balance",MIN(($S270-N($U270)),$S270-$S270*(1-N($AG270))^INT($AJ270/12)*(1-N($AG270)*MOD($AJ270,12)/12)),IF($W270="DDB",IF(N($V270)&lt;=0,0,MIN(($S270-N($U270)),$S270-$S270*(1-MIN(1,24/$V270))^INT($AJ270/12)*(1-MIN(1,24/$V270)*MOD($AJ270,12)/12))),IF($W270="SYD",IF(N($V270)&lt;=0,0,($S270-N($U270))*(INT(MIN($AJ270,$V270)/12)*(2*($V270/12)-INT(MIN($AJ270,$V270)/12)+1)/2+MOD(MIN($AJ270,$V270),12)/12*(($V270/12)-INT(MIN($AJ270,$V270)/12)))/(($V270/12)*(($V270/12)+1)/2)),0))))),2))</f>
        <v/>
      </c>
      <c r="Y270" s="23">
        <f>IF($X270="","",$S270-$X270)</f>
        <v/>
      </c>
      <c r="AD270" s="20" t="n"/>
      <c r="AG270" s="24" t="n"/>
      <c r="AH270" s="20" t="n"/>
      <c r="AI270" s="21" t="n"/>
      <c r="AJ270" s="25">
        <f>IF($R270="","",IF($R270&gt;IF($AH270&lt;&gt;"",MIN($AH270,Settings!$B$3),Settings!$B$3),0,(YEAR(IF($AH270&lt;&gt;"",MIN($AH270,Settings!$B$3),Settings!$B$3))-YEAR($R270))*12+MONTH(IF($AH270&lt;&gt;"",MIN($AH270,Settings!$B$3),Settings!$B$3))-MONTH($R270)+1))</f>
        <v/>
      </c>
      <c r="AK270" s="25">
        <f>IF($R270="","",IF($R270&gt;MIN(Settings!$B$4-1,IF($AH270&lt;&gt;"",MIN($AH270,Settings!$B$3),Settings!$B$3)),0,(YEAR(MIN(Settings!$B$4-1,IF($AH270&lt;&gt;"",MIN($AH270,Settings!$B$3),Settings!$B$3)))-YEAR($R270))*12+MONTH(MIN(Settings!$B$4-1,IF($AH270&lt;&gt;"",MIN($AH270,Settings!$B$3),Settings!$B$3)))-MONTH($R270)+1))</f>
        <v/>
      </c>
      <c r="AL270" s="23">
        <f>IF(OR($S270="",$R270=""),"",ROUND(MAX(0,IF($W270="Straight-line",IF(N($V270)&lt;=0,0,($S270-N($U270))*MIN($AK270,$V270)/$V270),IF($W270="Reducing balance",MIN(($S270-N($U270)),$S270-$S270*(1-N($AG270))^INT($AK270/12)*(1-N($AG270)*MOD($AK270,12)/12)),IF($W270="DDB",IF(N($V270)&lt;=0,0,MIN(($S270-N($U270)),$S270-$S270*(1-MIN(1,24/$V270))^INT($AK270/12)*(1-MIN(1,24/$V270)*MOD($AK270,12)/12))),IF($W270="SYD",IF(N($V270)&lt;=0,0,($S270-N($U270))*(INT(MIN($AK270,$V270)/12)*(2*($V270/12)-INT(MIN($AK270,$V270)/12)+1)/2+MOD(MIN($AK270,$V270),12)/12*(($V270/12)-INT(MIN($AK270,$V270)/12)))/(($V270/12)*(($V270/12)+1)/2)),0))))),2))</f>
        <v/>
      </c>
      <c r="AM270" s="23">
        <f>IF($X270="","",$X270-$AL270)</f>
        <v/>
      </c>
      <c r="AN270" s="23">
        <f>IF(OR($AH270="",$Y270=""),"",N($AI270)-$Y270)</f>
        <v/>
      </c>
    </row>
    <row r="271">
      <c r="Q271" s="20" t="n"/>
      <c r="R271" s="20" t="n"/>
      <c r="S271" s="21" t="n"/>
      <c r="U271" s="21" t="n"/>
      <c r="V271" s="22" t="n"/>
      <c r="X271" s="23">
        <f>IF(OR($S271="",$R271=""),"",ROUND(MAX(0,IF($W271="Straight-line",IF(N($V271)&lt;=0,0,($S271-N($U271))*MIN($AJ271,$V271)/$V271),IF($W271="Reducing balance",MIN(($S271-N($U271)),$S271-$S271*(1-N($AG271))^INT($AJ271/12)*(1-N($AG271)*MOD($AJ271,12)/12)),IF($W271="DDB",IF(N($V271)&lt;=0,0,MIN(($S271-N($U271)),$S271-$S271*(1-MIN(1,24/$V271))^INT($AJ271/12)*(1-MIN(1,24/$V271)*MOD($AJ271,12)/12))),IF($W271="SYD",IF(N($V271)&lt;=0,0,($S271-N($U271))*(INT(MIN($AJ271,$V271)/12)*(2*($V271/12)-INT(MIN($AJ271,$V271)/12)+1)/2+MOD(MIN($AJ271,$V271),12)/12*(($V271/12)-INT(MIN($AJ271,$V271)/12)))/(($V271/12)*(($V271/12)+1)/2)),0))))),2))</f>
        <v/>
      </c>
      <c r="Y271" s="23">
        <f>IF($X271="","",$S271-$X271)</f>
        <v/>
      </c>
      <c r="AD271" s="20" t="n"/>
      <c r="AG271" s="24" t="n"/>
      <c r="AH271" s="20" t="n"/>
      <c r="AI271" s="21" t="n"/>
      <c r="AJ271" s="25">
        <f>IF($R271="","",IF($R271&gt;IF($AH271&lt;&gt;"",MIN($AH271,Settings!$B$3),Settings!$B$3),0,(YEAR(IF($AH271&lt;&gt;"",MIN($AH271,Settings!$B$3),Settings!$B$3))-YEAR($R271))*12+MONTH(IF($AH271&lt;&gt;"",MIN($AH271,Settings!$B$3),Settings!$B$3))-MONTH($R271)+1))</f>
        <v/>
      </c>
      <c r="AK271" s="25">
        <f>IF($R271="","",IF($R271&gt;MIN(Settings!$B$4-1,IF($AH271&lt;&gt;"",MIN($AH271,Settings!$B$3),Settings!$B$3)),0,(YEAR(MIN(Settings!$B$4-1,IF($AH271&lt;&gt;"",MIN($AH271,Settings!$B$3),Settings!$B$3)))-YEAR($R271))*12+MONTH(MIN(Settings!$B$4-1,IF($AH271&lt;&gt;"",MIN($AH271,Settings!$B$3),Settings!$B$3)))-MONTH($R271)+1))</f>
        <v/>
      </c>
      <c r="AL271" s="23">
        <f>IF(OR($S271="",$R271=""),"",ROUND(MAX(0,IF($W271="Straight-line",IF(N($V271)&lt;=0,0,($S271-N($U271))*MIN($AK271,$V271)/$V271),IF($W271="Reducing balance",MIN(($S271-N($U271)),$S271-$S271*(1-N($AG271))^INT($AK271/12)*(1-N($AG271)*MOD($AK271,12)/12)),IF($W271="DDB",IF(N($V271)&lt;=0,0,MIN(($S271-N($U271)),$S271-$S271*(1-MIN(1,24/$V271))^INT($AK271/12)*(1-MIN(1,24/$V271)*MOD($AK271,12)/12))),IF($W271="SYD",IF(N($V271)&lt;=0,0,($S271-N($U271))*(INT(MIN($AK271,$V271)/12)*(2*($V271/12)-INT(MIN($AK271,$V271)/12)+1)/2+MOD(MIN($AK271,$V271),12)/12*(($V271/12)-INT(MIN($AK271,$V271)/12)))/(($V271/12)*(($V271/12)+1)/2)),0))))),2))</f>
        <v/>
      </c>
      <c r="AM271" s="23">
        <f>IF($X271="","",$X271-$AL271)</f>
        <v/>
      </c>
      <c r="AN271" s="23">
        <f>IF(OR($AH271="",$Y271=""),"",N($AI271)-$Y271)</f>
        <v/>
      </c>
    </row>
    <row r="272">
      <c r="Q272" s="20" t="n"/>
      <c r="R272" s="20" t="n"/>
      <c r="S272" s="21" t="n"/>
      <c r="U272" s="21" t="n"/>
      <c r="V272" s="22" t="n"/>
      <c r="X272" s="23">
        <f>IF(OR($S272="",$R272=""),"",ROUND(MAX(0,IF($W272="Straight-line",IF(N($V272)&lt;=0,0,($S272-N($U272))*MIN($AJ272,$V272)/$V272),IF($W272="Reducing balance",MIN(($S272-N($U272)),$S272-$S272*(1-N($AG272))^INT($AJ272/12)*(1-N($AG272)*MOD($AJ272,12)/12)),IF($W272="DDB",IF(N($V272)&lt;=0,0,MIN(($S272-N($U272)),$S272-$S272*(1-MIN(1,24/$V272))^INT($AJ272/12)*(1-MIN(1,24/$V272)*MOD($AJ272,12)/12))),IF($W272="SYD",IF(N($V272)&lt;=0,0,($S272-N($U272))*(INT(MIN($AJ272,$V272)/12)*(2*($V272/12)-INT(MIN($AJ272,$V272)/12)+1)/2+MOD(MIN($AJ272,$V272),12)/12*(($V272/12)-INT(MIN($AJ272,$V272)/12)))/(($V272/12)*(($V272/12)+1)/2)),0))))),2))</f>
        <v/>
      </c>
      <c r="Y272" s="23">
        <f>IF($X272="","",$S272-$X272)</f>
        <v/>
      </c>
      <c r="AD272" s="20" t="n"/>
      <c r="AG272" s="24" t="n"/>
      <c r="AH272" s="20" t="n"/>
      <c r="AI272" s="21" t="n"/>
      <c r="AJ272" s="25">
        <f>IF($R272="","",IF($R272&gt;IF($AH272&lt;&gt;"",MIN($AH272,Settings!$B$3),Settings!$B$3),0,(YEAR(IF($AH272&lt;&gt;"",MIN($AH272,Settings!$B$3),Settings!$B$3))-YEAR($R272))*12+MONTH(IF($AH272&lt;&gt;"",MIN($AH272,Settings!$B$3),Settings!$B$3))-MONTH($R272)+1))</f>
        <v/>
      </c>
      <c r="AK272" s="25">
        <f>IF($R272="","",IF($R272&gt;MIN(Settings!$B$4-1,IF($AH272&lt;&gt;"",MIN($AH272,Settings!$B$3),Settings!$B$3)),0,(YEAR(MIN(Settings!$B$4-1,IF($AH272&lt;&gt;"",MIN($AH272,Settings!$B$3),Settings!$B$3)))-YEAR($R272))*12+MONTH(MIN(Settings!$B$4-1,IF($AH272&lt;&gt;"",MIN($AH272,Settings!$B$3),Settings!$B$3)))-MONTH($R272)+1))</f>
        <v/>
      </c>
      <c r="AL272" s="23">
        <f>IF(OR($S272="",$R272=""),"",ROUND(MAX(0,IF($W272="Straight-line",IF(N($V272)&lt;=0,0,($S272-N($U272))*MIN($AK272,$V272)/$V272),IF($W272="Reducing balance",MIN(($S272-N($U272)),$S272-$S272*(1-N($AG272))^INT($AK272/12)*(1-N($AG272)*MOD($AK272,12)/12)),IF($W272="DDB",IF(N($V272)&lt;=0,0,MIN(($S272-N($U272)),$S272-$S272*(1-MIN(1,24/$V272))^INT($AK272/12)*(1-MIN(1,24/$V272)*MOD($AK272,12)/12))),IF($W272="SYD",IF(N($V272)&lt;=0,0,($S272-N($U272))*(INT(MIN($AK272,$V272)/12)*(2*($V272/12)-INT(MIN($AK272,$V272)/12)+1)/2+MOD(MIN($AK272,$V272),12)/12*(($V272/12)-INT(MIN($AK272,$V272)/12)))/(($V272/12)*(($V272/12)+1)/2)),0))))),2))</f>
        <v/>
      </c>
      <c r="AM272" s="23">
        <f>IF($X272="","",$X272-$AL272)</f>
        <v/>
      </c>
      <c r="AN272" s="23">
        <f>IF(OR($AH272="",$Y272=""),"",N($AI272)-$Y272)</f>
        <v/>
      </c>
    </row>
    <row r="273">
      <c r="Q273" s="20" t="n"/>
      <c r="R273" s="20" t="n"/>
      <c r="S273" s="21" t="n"/>
      <c r="U273" s="21" t="n"/>
      <c r="V273" s="22" t="n"/>
      <c r="X273" s="23">
        <f>IF(OR($S273="",$R273=""),"",ROUND(MAX(0,IF($W273="Straight-line",IF(N($V273)&lt;=0,0,($S273-N($U273))*MIN($AJ273,$V273)/$V273),IF($W273="Reducing balance",MIN(($S273-N($U273)),$S273-$S273*(1-N($AG273))^INT($AJ273/12)*(1-N($AG273)*MOD($AJ273,12)/12)),IF($W273="DDB",IF(N($V273)&lt;=0,0,MIN(($S273-N($U273)),$S273-$S273*(1-MIN(1,24/$V273))^INT($AJ273/12)*(1-MIN(1,24/$V273)*MOD($AJ273,12)/12))),IF($W273="SYD",IF(N($V273)&lt;=0,0,($S273-N($U273))*(INT(MIN($AJ273,$V273)/12)*(2*($V273/12)-INT(MIN($AJ273,$V273)/12)+1)/2+MOD(MIN($AJ273,$V273),12)/12*(($V273/12)-INT(MIN($AJ273,$V273)/12)))/(($V273/12)*(($V273/12)+1)/2)),0))))),2))</f>
        <v/>
      </c>
      <c r="Y273" s="23">
        <f>IF($X273="","",$S273-$X273)</f>
        <v/>
      </c>
      <c r="AD273" s="20" t="n"/>
      <c r="AG273" s="24" t="n"/>
      <c r="AH273" s="20" t="n"/>
      <c r="AI273" s="21" t="n"/>
      <c r="AJ273" s="25">
        <f>IF($R273="","",IF($R273&gt;IF($AH273&lt;&gt;"",MIN($AH273,Settings!$B$3),Settings!$B$3),0,(YEAR(IF($AH273&lt;&gt;"",MIN($AH273,Settings!$B$3),Settings!$B$3))-YEAR($R273))*12+MONTH(IF($AH273&lt;&gt;"",MIN($AH273,Settings!$B$3),Settings!$B$3))-MONTH($R273)+1))</f>
        <v/>
      </c>
      <c r="AK273" s="25">
        <f>IF($R273="","",IF($R273&gt;MIN(Settings!$B$4-1,IF($AH273&lt;&gt;"",MIN($AH273,Settings!$B$3),Settings!$B$3)),0,(YEAR(MIN(Settings!$B$4-1,IF($AH273&lt;&gt;"",MIN($AH273,Settings!$B$3),Settings!$B$3)))-YEAR($R273))*12+MONTH(MIN(Settings!$B$4-1,IF($AH273&lt;&gt;"",MIN($AH273,Settings!$B$3),Settings!$B$3)))-MONTH($R273)+1))</f>
        <v/>
      </c>
      <c r="AL273" s="23">
        <f>IF(OR($S273="",$R273=""),"",ROUND(MAX(0,IF($W273="Straight-line",IF(N($V273)&lt;=0,0,($S273-N($U273))*MIN($AK273,$V273)/$V273),IF($W273="Reducing balance",MIN(($S273-N($U273)),$S273-$S273*(1-N($AG273))^INT($AK273/12)*(1-N($AG273)*MOD($AK273,12)/12)),IF($W273="DDB",IF(N($V273)&lt;=0,0,MIN(($S273-N($U273)),$S273-$S273*(1-MIN(1,24/$V273))^INT($AK273/12)*(1-MIN(1,24/$V273)*MOD($AK273,12)/12))),IF($W273="SYD",IF(N($V273)&lt;=0,0,($S273-N($U273))*(INT(MIN($AK273,$V273)/12)*(2*($V273/12)-INT(MIN($AK273,$V273)/12)+1)/2+MOD(MIN($AK273,$V273),12)/12*(($V273/12)-INT(MIN($AK273,$V273)/12)))/(($V273/12)*(($V273/12)+1)/2)),0))))),2))</f>
        <v/>
      </c>
      <c r="AM273" s="23">
        <f>IF($X273="","",$X273-$AL273)</f>
        <v/>
      </c>
      <c r="AN273" s="23">
        <f>IF(OR($AH273="",$Y273=""),"",N($AI273)-$Y273)</f>
        <v/>
      </c>
    </row>
    <row r="274">
      <c r="Q274" s="20" t="n"/>
      <c r="R274" s="20" t="n"/>
      <c r="S274" s="21" t="n"/>
      <c r="U274" s="21" t="n"/>
      <c r="V274" s="22" t="n"/>
      <c r="X274" s="23">
        <f>IF(OR($S274="",$R274=""),"",ROUND(MAX(0,IF($W274="Straight-line",IF(N($V274)&lt;=0,0,($S274-N($U274))*MIN($AJ274,$V274)/$V274),IF($W274="Reducing balance",MIN(($S274-N($U274)),$S274-$S274*(1-N($AG274))^INT($AJ274/12)*(1-N($AG274)*MOD($AJ274,12)/12)),IF($W274="DDB",IF(N($V274)&lt;=0,0,MIN(($S274-N($U274)),$S274-$S274*(1-MIN(1,24/$V274))^INT($AJ274/12)*(1-MIN(1,24/$V274)*MOD($AJ274,12)/12))),IF($W274="SYD",IF(N($V274)&lt;=0,0,($S274-N($U274))*(INT(MIN($AJ274,$V274)/12)*(2*($V274/12)-INT(MIN($AJ274,$V274)/12)+1)/2+MOD(MIN($AJ274,$V274),12)/12*(($V274/12)-INT(MIN($AJ274,$V274)/12)))/(($V274/12)*(($V274/12)+1)/2)),0))))),2))</f>
        <v/>
      </c>
      <c r="Y274" s="23">
        <f>IF($X274="","",$S274-$X274)</f>
        <v/>
      </c>
      <c r="AD274" s="20" t="n"/>
      <c r="AG274" s="24" t="n"/>
      <c r="AH274" s="20" t="n"/>
      <c r="AI274" s="21" t="n"/>
      <c r="AJ274" s="25">
        <f>IF($R274="","",IF($R274&gt;IF($AH274&lt;&gt;"",MIN($AH274,Settings!$B$3),Settings!$B$3),0,(YEAR(IF($AH274&lt;&gt;"",MIN($AH274,Settings!$B$3),Settings!$B$3))-YEAR($R274))*12+MONTH(IF($AH274&lt;&gt;"",MIN($AH274,Settings!$B$3),Settings!$B$3))-MONTH($R274)+1))</f>
        <v/>
      </c>
      <c r="AK274" s="25">
        <f>IF($R274="","",IF($R274&gt;MIN(Settings!$B$4-1,IF($AH274&lt;&gt;"",MIN($AH274,Settings!$B$3),Settings!$B$3)),0,(YEAR(MIN(Settings!$B$4-1,IF($AH274&lt;&gt;"",MIN($AH274,Settings!$B$3),Settings!$B$3)))-YEAR($R274))*12+MONTH(MIN(Settings!$B$4-1,IF($AH274&lt;&gt;"",MIN($AH274,Settings!$B$3),Settings!$B$3)))-MONTH($R274)+1))</f>
        <v/>
      </c>
      <c r="AL274" s="23">
        <f>IF(OR($S274="",$R274=""),"",ROUND(MAX(0,IF($W274="Straight-line",IF(N($V274)&lt;=0,0,($S274-N($U274))*MIN($AK274,$V274)/$V274),IF($W274="Reducing balance",MIN(($S274-N($U274)),$S274-$S274*(1-N($AG274))^INT($AK274/12)*(1-N($AG274)*MOD($AK274,12)/12)),IF($W274="DDB",IF(N($V274)&lt;=0,0,MIN(($S274-N($U274)),$S274-$S274*(1-MIN(1,24/$V274))^INT($AK274/12)*(1-MIN(1,24/$V274)*MOD($AK274,12)/12))),IF($W274="SYD",IF(N($V274)&lt;=0,0,($S274-N($U274))*(INT(MIN($AK274,$V274)/12)*(2*($V274/12)-INT(MIN($AK274,$V274)/12)+1)/2+MOD(MIN($AK274,$V274),12)/12*(($V274/12)-INT(MIN($AK274,$V274)/12)))/(($V274/12)*(($V274/12)+1)/2)),0))))),2))</f>
        <v/>
      </c>
      <c r="AM274" s="23">
        <f>IF($X274="","",$X274-$AL274)</f>
        <v/>
      </c>
      <c r="AN274" s="23">
        <f>IF(OR($AH274="",$Y274=""),"",N($AI274)-$Y274)</f>
        <v/>
      </c>
    </row>
    <row r="275">
      <c r="Q275" s="20" t="n"/>
      <c r="R275" s="20" t="n"/>
      <c r="S275" s="21" t="n"/>
      <c r="U275" s="21" t="n"/>
      <c r="V275" s="22" t="n"/>
      <c r="X275" s="23">
        <f>IF(OR($S275="",$R275=""),"",ROUND(MAX(0,IF($W275="Straight-line",IF(N($V275)&lt;=0,0,($S275-N($U275))*MIN($AJ275,$V275)/$V275),IF($W275="Reducing balance",MIN(($S275-N($U275)),$S275-$S275*(1-N($AG275))^INT($AJ275/12)*(1-N($AG275)*MOD($AJ275,12)/12)),IF($W275="DDB",IF(N($V275)&lt;=0,0,MIN(($S275-N($U275)),$S275-$S275*(1-MIN(1,24/$V275))^INT($AJ275/12)*(1-MIN(1,24/$V275)*MOD($AJ275,12)/12))),IF($W275="SYD",IF(N($V275)&lt;=0,0,($S275-N($U275))*(INT(MIN($AJ275,$V275)/12)*(2*($V275/12)-INT(MIN($AJ275,$V275)/12)+1)/2+MOD(MIN($AJ275,$V275),12)/12*(($V275/12)-INT(MIN($AJ275,$V275)/12)))/(($V275/12)*(($V275/12)+1)/2)),0))))),2))</f>
        <v/>
      </c>
      <c r="Y275" s="23">
        <f>IF($X275="","",$S275-$X275)</f>
        <v/>
      </c>
      <c r="AD275" s="20" t="n"/>
      <c r="AG275" s="24" t="n"/>
      <c r="AH275" s="20" t="n"/>
      <c r="AI275" s="21" t="n"/>
      <c r="AJ275" s="25">
        <f>IF($R275="","",IF($R275&gt;IF($AH275&lt;&gt;"",MIN($AH275,Settings!$B$3),Settings!$B$3),0,(YEAR(IF($AH275&lt;&gt;"",MIN($AH275,Settings!$B$3),Settings!$B$3))-YEAR($R275))*12+MONTH(IF($AH275&lt;&gt;"",MIN($AH275,Settings!$B$3),Settings!$B$3))-MONTH($R275)+1))</f>
        <v/>
      </c>
      <c r="AK275" s="25">
        <f>IF($R275="","",IF($R275&gt;MIN(Settings!$B$4-1,IF($AH275&lt;&gt;"",MIN($AH275,Settings!$B$3),Settings!$B$3)),0,(YEAR(MIN(Settings!$B$4-1,IF($AH275&lt;&gt;"",MIN($AH275,Settings!$B$3),Settings!$B$3)))-YEAR($R275))*12+MONTH(MIN(Settings!$B$4-1,IF($AH275&lt;&gt;"",MIN($AH275,Settings!$B$3),Settings!$B$3)))-MONTH($R275)+1))</f>
        <v/>
      </c>
      <c r="AL275" s="23">
        <f>IF(OR($S275="",$R275=""),"",ROUND(MAX(0,IF($W275="Straight-line",IF(N($V275)&lt;=0,0,($S275-N($U275))*MIN($AK275,$V275)/$V275),IF($W275="Reducing balance",MIN(($S275-N($U275)),$S275-$S275*(1-N($AG275))^INT($AK275/12)*(1-N($AG275)*MOD($AK275,12)/12)),IF($W275="DDB",IF(N($V275)&lt;=0,0,MIN(($S275-N($U275)),$S275-$S275*(1-MIN(1,24/$V275))^INT($AK275/12)*(1-MIN(1,24/$V275)*MOD($AK275,12)/12))),IF($W275="SYD",IF(N($V275)&lt;=0,0,($S275-N($U275))*(INT(MIN($AK275,$V275)/12)*(2*($V275/12)-INT(MIN($AK275,$V275)/12)+1)/2+MOD(MIN($AK275,$V275),12)/12*(($V275/12)-INT(MIN($AK275,$V275)/12)))/(($V275/12)*(($V275/12)+1)/2)),0))))),2))</f>
        <v/>
      </c>
      <c r="AM275" s="23">
        <f>IF($X275="","",$X275-$AL275)</f>
        <v/>
      </c>
      <c r="AN275" s="23">
        <f>IF(OR($AH275="",$Y275=""),"",N($AI275)-$Y275)</f>
        <v/>
      </c>
    </row>
    <row r="276">
      <c r="Q276" s="20" t="n"/>
      <c r="R276" s="20" t="n"/>
      <c r="S276" s="21" t="n"/>
      <c r="U276" s="21" t="n"/>
      <c r="V276" s="22" t="n"/>
      <c r="X276" s="23">
        <f>IF(OR($S276="",$R276=""),"",ROUND(MAX(0,IF($W276="Straight-line",IF(N($V276)&lt;=0,0,($S276-N($U276))*MIN($AJ276,$V276)/$V276),IF($W276="Reducing balance",MIN(($S276-N($U276)),$S276-$S276*(1-N($AG276))^INT($AJ276/12)*(1-N($AG276)*MOD($AJ276,12)/12)),IF($W276="DDB",IF(N($V276)&lt;=0,0,MIN(($S276-N($U276)),$S276-$S276*(1-MIN(1,24/$V276))^INT($AJ276/12)*(1-MIN(1,24/$V276)*MOD($AJ276,12)/12))),IF($W276="SYD",IF(N($V276)&lt;=0,0,($S276-N($U276))*(INT(MIN($AJ276,$V276)/12)*(2*($V276/12)-INT(MIN($AJ276,$V276)/12)+1)/2+MOD(MIN($AJ276,$V276),12)/12*(($V276/12)-INT(MIN($AJ276,$V276)/12)))/(($V276/12)*(($V276/12)+1)/2)),0))))),2))</f>
        <v/>
      </c>
      <c r="Y276" s="23">
        <f>IF($X276="","",$S276-$X276)</f>
        <v/>
      </c>
      <c r="AD276" s="20" t="n"/>
      <c r="AG276" s="24" t="n"/>
      <c r="AH276" s="20" t="n"/>
      <c r="AI276" s="21" t="n"/>
      <c r="AJ276" s="25">
        <f>IF($R276="","",IF($R276&gt;IF($AH276&lt;&gt;"",MIN($AH276,Settings!$B$3),Settings!$B$3),0,(YEAR(IF($AH276&lt;&gt;"",MIN($AH276,Settings!$B$3),Settings!$B$3))-YEAR($R276))*12+MONTH(IF($AH276&lt;&gt;"",MIN($AH276,Settings!$B$3),Settings!$B$3))-MONTH($R276)+1))</f>
        <v/>
      </c>
      <c r="AK276" s="25">
        <f>IF($R276="","",IF($R276&gt;MIN(Settings!$B$4-1,IF($AH276&lt;&gt;"",MIN($AH276,Settings!$B$3),Settings!$B$3)),0,(YEAR(MIN(Settings!$B$4-1,IF($AH276&lt;&gt;"",MIN($AH276,Settings!$B$3),Settings!$B$3)))-YEAR($R276))*12+MONTH(MIN(Settings!$B$4-1,IF($AH276&lt;&gt;"",MIN($AH276,Settings!$B$3),Settings!$B$3)))-MONTH($R276)+1))</f>
        <v/>
      </c>
      <c r="AL276" s="23">
        <f>IF(OR($S276="",$R276=""),"",ROUND(MAX(0,IF($W276="Straight-line",IF(N($V276)&lt;=0,0,($S276-N($U276))*MIN($AK276,$V276)/$V276),IF($W276="Reducing balance",MIN(($S276-N($U276)),$S276-$S276*(1-N($AG276))^INT($AK276/12)*(1-N($AG276)*MOD($AK276,12)/12)),IF($W276="DDB",IF(N($V276)&lt;=0,0,MIN(($S276-N($U276)),$S276-$S276*(1-MIN(1,24/$V276))^INT($AK276/12)*(1-MIN(1,24/$V276)*MOD($AK276,12)/12))),IF($W276="SYD",IF(N($V276)&lt;=0,0,($S276-N($U276))*(INT(MIN($AK276,$V276)/12)*(2*($V276/12)-INT(MIN($AK276,$V276)/12)+1)/2+MOD(MIN($AK276,$V276),12)/12*(($V276/12)-INT(MIN($AK276,$V276)/12)))/(($V276/12)*(($V276/12)+1)/2)),0))))),2))</f>
        <v/>
      </c>
      <c r="AM276" s="23">
        <f>IF($X276="","",$X276-$AL276)</f>
        <v/>
      </c>
      <c r="AN276" s="23">
        <f>IF(OR($AH276="",$Y276=""),"",N($AI276)-$Y276)</f>
        <v/>
      </c>
    </row>
    <row r="277">
      <c r="Q277" s="20" t="n"/>
      <c r="R277" s="20" t="n"/>
      <c r="S277" s="21" t="n"/>
      <c r="U277" s="21" t="n"/>
      <c r="V277" s="22" t="n"/>
      <c r="X277" s="23">
        <f>IF(OR($S277="",$R277=""),"",ROUND(MAX(0,IF($W277="Straight-line",IF(N($V277)&lt;=0,0,($S277-N($U277))*MIN($AJ277,$V277)/$V277),IF($W277="Reducing balance",MIN(($S277-N($U277)),$S277-$S277*(1-N($AG277))^INT($AJ277/12)*(1-N($AG277)*MOD($AJ277,12)/12)),IF($W277="DDB",IF(N($V277)&lt;=0,0,MIN(($S277-N($U277)),$S277-$S277*(1-MIN(1,24/$V277))^INT($AJ277/12)*(1-MIN(1,24/$V277)*MOD($AJ277,12)/12))),IF($W277="SYD",IF(N($V277)&lt;=0,0,($S277-N($U277))*(INT(MIN($AJ277,$V277)/12)*(2*($V277/12)-INT(MIN($AJ277,$V277)/12)+1)/2+MOD(MIN($AJ277,$V277),12)/12*(($V277/12)-INT(MIN($AJ277,$V277)/12)))/(($V277/12)*(($V277/12)+1)/2)),0))))),2))</f>
        <v/>
      </c>
      <c r="Y277" s="23">
        <f>IF($X277="","",$S277-$X277)</f>
        <v/>
      </c>
      <c r="AD277" s="20" t="n"/>
      <c r="AG277" s="24" t="n"/>
      <c r="AH277" s="20" t="n"/>
      <c r="AI277" s="21" t="n"/>
      <c r="AJ277" s="25">
        <f>IF($R277="","",IF($R277&gt;IF($AH277&lt;&gt;"",MIN($AH277,Settings!$B$3),Settings!$B$3),0,(YEAR(IF($AH277&lt;&gt;"",MIN($AH277,Settings!$B$3),Settings!$B$3))-YEAR($R277))*12+MONTH(IF($AH277&lt;&gt;"",MIN($AH277,Settings!$B$3),Settings!$B$3))-MONTH($R277)+1))</f>
        <v/>
      </c>
      <c r="AK277" s="25">
        <f>IF($R277="","",IF($R277&gt;MIN(Settings!$B$4-1,IF($AH277&lt;&gt;"",MIN($AH277,Settings!$B$3),Settings!$B$3)),0,(YEAR(MIN(Settings!$B$4-1,IF($AH277&lt;&gt;"",MIN($AH277,Settings!$B$3),Settings!$B$3)))-YEAR($R277))*12+MONTH(MIN(Settings!$B$4-1,IF($AH277&lt;&gt;"",MIN($AH277,Settings!$B$3),Settings!$B$3)))-MONTH($R277)+1))</f>
        <v/>
      </c>
      <c r="AL277" s="23">
        <f>IF(OR($S277="",$R277=""),"",ROUND(MAX(0,IF($W277="Straight-line",IF(N($V277)&lt;=0,0,($S277-N($U277))*MIN($AK277,$V277)/$V277),IF($W277="Reducing balance",MIN(($S277-N($U277)),$S277-$S277*(1-N($AG277))^INT($AK277/12)*(1-N($AG277)*MOD($AK277,12)/12)),IF($W277="DDB",IF(N($V277)&lt;=0,0,MIN(($S277-N($U277)),$S277-$S277*(1-MIN(1,24/$V277))^INT($AK277/12)*(1-MIN(1,24/$V277)*MOD($AK277,12)/12))),IF($W277="SYD",IF(N($V277)&lt;=0,0,($S277-N($U277))*(INT(MIN($AK277,$V277)/12)*(2*($V277/12)-INT(MIN($AK277,$V277)/12)+1)/2+MOD(MIN($AK277,$V277),12)/12*(($V277/12)-INT(MIN($AK277,$V277)/12)))/(($V277/12)*(($V277/12)+1)/2)),0))))),2))</f>
        <v/>
      </c>
      <c r="AM277" s="23">
        <f>IF($X277="","",$X277-$AL277)</f>
        <v/>
      </c>
      <c r="AN277" s="23">
        <f>IF(OR($AH277="",$Y277=""),"",N($AI277)-$Y277)</f>
        <v/>
      </c>
    </row>
    <row r="278">
      <c r="Q278" s="20" t="n"/>
      <c r="R278" s="20" t="n"/>
      <c r="S278" s="21" t="n"/>
      <c r="U278" s="21" t="n"/>
      <c r="V278" s="22" t="n"/>
      <c r="X278" s="23">
        <f>IF(OR($S278="",$R278=""),"",ROUND(MAX(0,IF($W278="Straight-line",IF(N($V278)&lt;=0,0,($S278-N($U278))*MIN($AJ278,$V278)/$V278),IF($W278="Reducing balance",MIN(($S278-N($U278)),$S278-$S278*(1-N($AG278))^INT($AJ278/12)*(1-N($AG278)*MOD($AJ278,12)/12)),IF($W278="DDB",IF(N($V278)&lt;=0,0,MIN(($S278-N($U278)),$S278-$S278*(1-MIN(1,24/$V278))^INT($AJ278/12)*(1-MIN(1,24/$V278)*MOD($AJ278,12)/12))),IF($W278="SYD",IF(N($V278)&lt;=0,0,($S278-N($U278))*(INT(MIN($AJ278,$V278)/12)*(2*($V278/12)-INT(MIN($AJ278,$V278)/12)+1)/2+MOD(MIN($AJ278,$V278),12)/12*(($V278/12)-INT(MIN($AJ278,$V278)/12)))/(($V278/12)*(($V278/12)+1)/2)),0))))),2))</f>
        <v/>
      </c>
      <c r="Y278" s="23">
        <f>IF($X278="","",$S278-$X278)</f>
        <v/>
      </c>
      <c r="AD278" s="20" t="n"/>
      <c r="AG278" s="24" t="n"/>
      <c r="AH278" s="20" t="n"/>
      <c r="AI278" s="21" t="n"/>
      <c r="AJ278" s="25">
        <f>IF($R278="","",IF($R278&gt;IF($AH278&lt;&gt;"",MIN($AH278,Settings!$B$3),Settings!$B$3),0,(YEAR(IF($AH278&lt;&gt;"",MIN($AH278,Settings!$B$3),Settings!$B$3))-YEAR($R278))*12+MONTH(IF($AH278&lt;&gt;"",MIN($AH278,Settings!$B$3),Settings!$B$3))-MONTH($R278)+1))</f>
        <v/>
      </c>
      <c r="AK278" s="25">
        <f>IF($R278="","",IF($R278&gt;MIN(Settings!$B$4-1,IF($AH278&lt;&gt;"",MIN($AH278,Settings!$B$3),Settings!$B$3)),0,(YEAR(MIN(Settings!$B$4-1,IF($AH278&lt;&gt;"",MIN($AH278,Settings!$B$3),Settings!$B$3)))-YEAR($R278))*12+MONTH(MIN(Settings!$B$4-1,IF($AH278&lt;&gt;"",MIN($AH278,Settings!$B$3),Settings!$B$3)))-MONTH($R278)+1))</f>
        <v/>
      </c>
      <c r="AL278" s="23">
        <f>IF(OR($S278="",$R278=""),"",ROUND(MAX(0,IF($W278="Straight-line",IF(N($V278)&lt;=0,0,($S278-N($U278))*MIN($AK278,$V278)/$V278),IF($W278="Reducing balance",MIN(($S278-N($U278)),$S278-$S278*(1-N($AG278))^INT($AK278/12)*(1-N($AG278)*MOD($AK278,12)/12)),IF($W278="DDB",IF(N($V278)&lt;=0,0,MIN(($S278-N($U278)),$S278-$S278*(1-MIN(1,24/$V278))^INT($AK278/12)*(1-MIN(1,24/$V278)*MOD($AK278,12)/12))),IF($W278="SYD",IF(N($V278)&lt;=0,0,($S278-N($U278))*(INT(MIN($AK278,$V278)/12)*(2*($V278/12)-INT(MIN($AK278,$V278)/12)+1)/2+MOD(MIN($AK278,$V278),12)/12*(($V278/12)-INT(MIN($AK278,$V278)/12)))/(($V278/12)*(($V278/12)+1)/2)),0))))),2))</f>
        <v/>
      </c>
      <c r="AM278" s="23">
        <f>IF($X278="","",$X278-$AL278)</f>
        <v/>
      </c>
      <c r="AN278" s="23">
        <f>IF(OR($AH278="",$Y278=""),"",N($AI278)-$Y278)</f>
        <v/>
      </c>
    </row>
    <row r="279">
      <c r="Q279" s="20" t="n"/>
      <c r="R279" s="20" t="n"/>
      <c r="S279" s="21" t="n"/>
      <c r="U279" s="21" t="n"/>
      <c r="V279" s="22" t="n"/>
      <c r="X279" s="23">
        <f>IF(OR($S279="",$R279=""),"",ROUND(MAX(0,IF($W279="Straight-line",IF(N($V279)&lt;=0,0,($S279-N($U279))*MIN($AJ279,$V279)/$V279),IF($W279="Reducing balance",MIN(($S279-N($U279)),$S279-$S279*(1-N($AG279))^INT($AJ279/12)*(1-N($AG279)*MOD($AJ279,12)/12)),IF($W279="DDB",IF(N($V279)&lt;=0,0,MIN(($S279-N($U279)),$S279-$S279*(1-MIN(1,24/$V279))^INT($AJ279/12)*(1-MIN(1,24/$V279)*MOD($AJ279,12)/12))),IF($W279="SYD",IF(N($V279)&lt;=0,0,($S279-N($U279))*(INT(MIN($AJ279,$V279)/12)*(2*($V279/12)-INT(MIN($AJ279,$V279)/12)+1)/2+MOD(MIN($AJ279,$V279),12)/12*(($V279/12)-INT(MIN($AJ279,$V279)/12)))/(($V279/12)*(($V279/12)+1)/2)),0))))),2))</f>
        <v/>
      </c>
      <c r="Y279" s="23">
        <f>IF($X279="","",$S279-$X279)</f>
        <v/>
      </c>
      <c r="AD279" s="20" t="n"/>
      <c r="AG279" s="24" t="n"/>
      <c r="AH279" s="20" t="n"/>
      <c r="AI279" s="21" t="n"/>
      <c r="AJ279" s="25">
        <f>IF($R279="","",IF($R279&gt;IF($AH279&lt;&gt;"",MIN($AH279,Settings!$B$3),Settings!$B$3),0,(YEAR(IF($AH279&lt;&gt;"",MIN($AH279,Settings!$B$3),Settings!$B$3))-YEAR($R279))*12+MONTH(IF($AH279&lt;&gt;"",MIN($AH279,Settings!$B$3),Settings!$B$3))-MONTH($R279)+1))</f>
        <v/>
      </c>
      <c r="AK279" s="25">
        <f>IF($R279="","",IF($R279&gt;MIN(Settings!$B$4-1,IF($AH279&lt;&gt;"",MIN($AH279,Settings!$B$3),Settings!$B$3)),0,(YEAR(MIN(Settings!$B$4-1,IF($AH279&lt;&gt;"",MIN($AH279,Settings!$B$3),Settings!$B$3)))-YEAR($R279))*12+MONTH(MIN(Settings!$B$4-1,IF($AH279&lt;&gt;"",MIN($AH279,Settings!$B$3),Settings!$B$3)))-MONTH($R279)+1))</f>
        <v/>
      </c>
      <c r="AL279" s="23">
        <f>IF(OR($S279="",$R279=""),"",ROUND(MAX(0,IF($W279="Straight-line",IF(N($V279)&lt;=0,0,($S279-N($U279))*MIN($AK279,$V279)/$V279),IF($W279="Reducing balance",MIN(($S279-N($U279)),$S279-$S279*(1-N($AG279))^INT($AK279/12)*(1-N($AG279)*MOD($AK279,12)/12)),IF($W279="DDB",IF(N($V279)&lt;=0,0,MIN(($S279-N($U279)),$S279-$S279*(1-MIN(1,24/$V279))^INT($AK279/12)*(1-MIN(1,24/$V279)*MOD($AK279,12)/12))),IF($W279="SYD",IF(N($V279)&lt;=0,0,($S279-N($U279))*(INT(MIN($AK279,$V279)/12)*(2*($V279/12)-INT(MIN($AK279,$V279)/12)+1)/2+MOD(MIN($AK279,$V279),12)/12*(($V279/12)-INT(MIN($AK279,$V279)/12)))/(($V279/12)*(($V279/12)+1)/2)),0))))),2))</f>
        <v/>
      </c>
      <c r="AM279" s="23">
        <f>IF($X279="","",$X279-$AL279)</f>
        <v/>
      </c>
      <c r="AN279" s="23">
        <f>IF(OR($AH279="",$Y279=""),"",N($AI279)-$Y279)</f>
        <v/>
      </c>
    </row>
    <row r="280">
      <c r="Q280" s="20" t="n"/>
      <c r="R280" s="20" t="n"/>
      <c r="S280" s="21" t="n"/>
      <c r="U280" s="21" t="n"/>
      <c r="V280" s="22" t="n"/>
      <c r="X280" s="23">
        <f>IF(OR($S280="",$R280=""),"",ROUND(MAX(0,IF($W280="Straight-line",IF(N($V280)&lt;=0,0,($S280-N($U280))*MIN($AJ280,$V280)/$V280),IF($W280="Reducing balance",MIN(($S280-N($U280)),$S280-$S280*(1-N($AG280))^INT($AJ280/12)*(1-N($AG280)*MOD($AJ280,12)/12)),IF($W280="DDB",IF(N($V280)&lt;=0,0,MIN(($S280-N($U280)),$S280-$S280*(1-MIN(1,24/$V280))^INT($AJ280/12)*(1-MIN(1,24/$V280)*MOD($AJ280,12)/12))),IF($W280="SYD",IF(N($V280)&lt;=0,0,($S280-N($U280))*(INT(MIN($AJ280,$V280)/12)*(2*($V280/12)-INT(MIN($AJ280,$V280)/12)+1)/2+MOD(MIN($AJ280,$V280),12)/12*(($V280/12)-INT(MIN($AJ280,$V280)/12)))/(($V280/12)*(($V280/12)+1)/2)),0))))),2))</f>
        <v/>
      </c>
      <c r="Y280" s="23">
        <f>IF($X280="","",$S280-$X280)</f>
        <v/>
      </c>
      <c r="AD280" s="20" t="n"/>
      <c r="AG280" s="24" t="n"/>
      <c r="AH280" s="20" t="n"/>
      <c r="AI280" s="21" t="n"/>
      <c r="AJ280" s="25">
        <f>IF($R280="","",IF($R280&gt;IF($AH280&lt;&gt;"",MIN($AH280,Settings!$B$3),Settings!$B$3),0,(YEAR(IF($AH280&lt;&gt;"",MIN($AH280,Settings!$B$3),Settings!$B$3))-YEAR($R280))*12+MONTH(IF($AH280&lt;&gt;"",MIN($AH280,Settings!$B$3),Settings!$B$3))-MONTH($R280)+1))</f>
        <v/>
      </c>
      <c r="AK280" s="25">
        <f>IF($R280="","",IF($R280&gt;MIN(Settings!$B$4-1,IF($AH280&lt;&gt;"",MIN($AH280,Settings!$B$3),Settings!$B$3)),0,(YEAR(MIN(Settings!$B$4-1,IF($AH280&lt;&gt;"",MIN($AH280,Settings!$B$3),Settings!$B$3)))-YEAR($R280))*12+MONTH(MIN(Settings!$B$4-1,IF($AH280&lt;&gt;"",MIN($AH280,Settings!$B$3),Settings!$B$3)))-MONTH($R280)+1))</f>
        <v/>
      </c>
      <c r="AL280" s="23">
        <f>IF(OR($S280="",$R280=""),"",ROUND(MAX(0,IF($W280="Straight-line",IF(N($V280)&lt;=0,0,($S280-N($U280))*MIN($AK280,$V280)/$V280),IF($W280="Reducing balance",MIN(($S280-N($U280)),$S280-$S280*(1-N($AG280))^INT($AK280/12)*(1-N($AG280)*MOD($AK280,12)/12)),IF($W280="DDB",IF(N($V280)&lt;=0,0,MIN(($S280-N($U280)),$S280-$S280*(1-MIN(1,24/$V280))^INT($AK280/12)*(1-MIN(1,24/$V280)*MOD($AK280,12)/12))),IF($W280="SYD",IF(N($V280)&lt;=0,0,($S280-N($U280))*(INT(MIN($AK280,$V280)/12)*(2*($V280/12)-INT(MIN($AK280,$V280)/12)+1)/2+MOD(MIN($AK280,$V280),12)/12*(($V280/12)-INT(MIN($AK280,$V280)/12)))/(($V280/12)*(($V280/12)+1)/2)),0))))),2))</f>
        <v/>
      </c>
      <c r="AM280" s="23">
        <f>IF($X280="","",$X280-$AL280)</f>
        <v/>
      </c>
      <c r="AN280" s="23">
        <f>IF(OR($AH280="",$Y280=""),"",N($AI280)-$Y280)</f>
        <v/>
      </c>
    </row>
    <row r="281">
      <c r="Q281" s="20" t="n"/>
      <c r="R281" s="20" t="n"/>
      <c r="S281" s="21" t="n"/>
      <c r="U281" s="21" t="n"/>
      <c r="V281" s="22" t="n"/>
      <c r="X281" s="23">
        <f>IF(OR($S281="",$R281=""),"",ROUND(MAX(0,IF($W281="Straight-line",IF(N($V281)&lt;=0,0,($S281-N($U281))*MIN($AJ281,$V281)/$V281),IF($W281="Reducing balance",MIN(($S281-N($U281)),$S281-$S281*(1-N($AG281))^INT($AJ281/12)*(1-N($AG281)*MOD($AJ281,12)/12)),IF($W281="DDB",IF(N($V281)&lt;=0,0,MIN(($S281-N($U281)),$S281-$S281*(1-MIN(1,24/$V281))^INT($AJ281/12)*(1-MIN(1,24/$V281)*MOD($AJ281,12)/12))),IF($W281="SYD",IF(N($V281)&lt;=0,0,($S281-N($U281))*(INT(MIN($AJ281,$V281)/12)*(2*($V281/12)-INT(MIN($AJ281,$V281)/12)+1)/2+MOD(MIN($AJ281,$V281),12)/12*(($V281/12)-INT(MIN($AJ281,$V281)/12)))/(($V281/12)*(($V281/12)+1)/2)),0))))),2))</f>
        <v/>
      </c>
      <c r="Y281" s="23">
        <f>IF($X281="","",$S281-$X281)</f>
        <v/>
      </c>
      <c r="AD281" s="20" t="n"/>
      <c r="AG281" s="24" t="n"/>
      <c r="AH281" s="20" t="n"/>
      <c r="AI281" s="21" t="n"/>
      <c r="AJ281" s="25">
        <f>IF($R281="","",IF($R281&gt;IF($AH281&lt;&gt;"",MIN($AH281,Settings!$B$3),Settings!$B$3),0,(YEAR(IF($AH281&lt;&gt;"",MIN($AH281,Settings!$B$3),Settings!$B$3))-YEAR($R281))*12+MONTH(IF($AH281&lt;&gt;"",MIN($AH281,Settings!$B$3),Settings!$B$3))-MONTH($R281)+1))</f>
        <v/>
      </c>
      <c r="AK281" s="25">
        <f>IF($R281="","",IF($R281&gt;MIN(Settings!$B$4-1,IF($AH281&lt;&gt;"",MIN($AH281,Settings!$B$3),Settings!$B$3)),0,(YEAR(MIN(Settings!$B$4-1,IF($AH281&lt;&gt;"",MIN($AH281,Settings!$B$3),Settings!$B$3)))-YEAR($R281))*12+MONTH(MIN(Settings!$B$4-1,IF($AH281&lt;&gt;"",MIN($AH281,Settings!$B$3),Settings!$B$3)))-MONTH($R281)+1))</f>
        <v/>
      </c>
      <c r="AL281" s="23">
        <f>IF(OR($S281="",$R281=""),"",ROUND(MAX(0,IF($W281="Straight-line",IF(N($V281)&lt;=0,0,($S281-N($U281))*MIN($AK281,$V281)/$V281),IF($W281="Reducing balance",MIN(($S281-N($U281)),$S281-$S281*(1-N($AG281))^INT($AK281/12)*(1-N($AG281)*MOD($AK281,12)/12)),IF($W281="DDB",IF(N($V281)&lt;=0,0,MIN(($S281-N($U281)),$S281-$S281*(1-MIN(1,24/$V281))^INT($AK281/12)*(1-MIN(1,24/$V281)*MOD($AK281,12)/12))),IF($W281="SYD",IF(N($V281)&lt;=0,0,($S281-N($U281))*(INT(MIN($AK281,$V281)/12)*(2*($V281/12)-INT(MIN($AK281,$V281)/12)+1)/2+MOD(MIN($AK281,$V281),12)/12*(($V281/12)-INT(MIN($AK281,$V281)/12)))/(($V281/12)*(($V281/12)+1)/2)),0))))),2))</f>
        <v/>
      </c>
      <c r="AM281" s="23">
        <f>IF($X281="","",$X281-$AL281)</f>
        <v/>
      </c>
      <c r="AN281" s="23">
        <f>IF(OR($AH281="",$Y281=""),"",N($AI281)-$Y281)</f>
        <v/>
      </c>
    </row>
    <row r="282">
      <c r="Q282" s="20" t="n"/>
      <c r="R282" s="20" t="n"/>
      <c r="S282" s="21" t="n"/>
      <c r="U282" s="21" t="n"/>
      <c r="V282" s="22" t="n"/>
      <c r="X282" s="23">
        <f>IF(OR($S282="",$R282=""),"",ROUND(MAX(0,IF($W282="Straight-line",IF(N($V282)&lt;=0,0,($S282-N($U282))*MIN($AJ282,$V282)/$V282),IF($W282="Reducing balance",MIN(($S282-N($U282)),$S282-$S282*(1-N($AG282))^INT($AJ282/12)*(1-N($AG282)*MOD($AJ282,12)/12)),IF($W282="DDB",IF(N($V282)&lt;=0,0,MIN(($S282-N($U282)),$S282-$S282*(1-MIN(1,24/$V282))^INT($AJ282/12)*(1-MIN(1,24/$V282)*MOD($AJ282,12)/12))),IF($W282="SYD",IF(N($V282)&lt;=0,0,($S282-N($U282))*(INT(MIN($AJ282,$V282)/12)*(2*($V282/12)-INT(MIN($AJ282,$V282)/12)+1)/2+MOD(MIN($AJ282,$V282),12)/12*(($V282/12)-INT(MIN($AJ282,$V282)/12)))/(($V282/12)*(($V282/12)+1)/2)),0))))),2))</f>
        <v/>
      </c>
      <c r="Y282" s="23">
        <f>IF($X282="","",$S282-$X282)</f>
        <v/>
      </c>
      <c r="AD282" s="20" t="n"/>
      <c r="AG282" s="24" t="n"/>
      <c r="AH282" s="20" t="n"/>
      <c r="AI282" s="21" t="n"/>
      <c r="AJ282" s="25">
        <f>IF($R282="","",IF($R282&gt;IF($AH282&lt;&gt;"",MIN($AH282,Settings!$B$3),Settings!$B$3),0,(YEAR(IF($AH282&lt;&gt;"",MIN($AH282,Settings!$B$3),Settings!$B$3))-YEAR($R282))*12+MONTH(IF($AH282&lt;&gt;"",MIN($AH282,Settings!$B$3),Settings!$B$3))-MONTH($R282)+1))</f>
        <v/>
      </c>
      <c r="AK282" s="25">
        <f>IF($R282="","",IF($R282&gt;MIN(Settings!$B$4-1,IF($AH282&lt;&gt;"",MIN($AH282,Settings!$B$3),Settings!$B$3)),0,(YEAR(MIN(Settings!$B$4-1,IF($AH282&lt;&gt;"",MIN($AH282,Settings!$B$3),Settings!$B$3)))-YEAR($R282))*12+MONTH(MIN(Settings!$B$4-1,IF($AH282&lt;&gt;"",MIN($AH282,Settings!$B$3),Settings!$B$3)))-MONTH($R282)+1))</f>
        <v/>
      </c>
      <c r="AL282" s="23">
        <f>IF(OR($S282="",$R282=""),"",ROUND(MAX(0,IF($W282="Straight-line",IF(N($V282)&lt;=0,0,($S282-N($U282))*MIN($AK282,$V282)/$V282),IF($W282="Reducing balance",MIN(($S282-N($U282)),$S282-$S282*(1-N($AG282))^INT($AK282/12)*(1-N($AG282)*MOD($AK282,12)/12)),IF($W282="DDB",IF(N($V282)&lt;=0,0,MIN(($S282-N($U282)),$S282-$S282*(1-MIN(1,24/$V282))^INT($AK282/12)*(1-MIN(1,24/$V282)*MOD($AK282,12)/12))),IF($W282="SYD",IF(N($V282)&lt;=0,0,($S282-N($U282))*(INT(MIN($AK282,$V282)/12)*(2*($V282/12)-INT(MIN($AK282,$V282)/12)+1)/2+MOD(MIN($AK282,$V282),12)/12*(($V282/12)-INT(MIN($AK282,$V282)/12)))/(($V282/12)*(($V282/12)+1)/2)),0))))),2))</f>
        <v/>
      </c>
      <c r="AM282" s="23">
        <f>IF($X282="","",$X282-$AL282)</f>
        <v/>
      </c>
      <c r="AN282" s="23">
        <f>IF(OR($AH282="",$Y282=""),"",N($AI282)-$Y282)</f>
        <v/>
      </c>
    </row>
    <row r="283">
      <c r="Q283" s="20" t="n"/>
      <c r="R283" s="20" t="n"/>
      <c r="S283" s="21" t="n"/>
      <c r="U283" s="21" t="n"/>
      <c r="V283" s="22" t="n"/>
      <c r="X283" s="23">
        <f>IF(OR($S283="",$R283=""),"",ROUND(MAX(0,IF($W283="Straight-line",IF(N($V283)&lt;=0,0,($S283-N($U283))*MIN($AJ283,$V283)/$V283),IF($W283="Reducing balance",MIN(($S283-N($U283)),$S283-$S283*(1-N($AG283))^INT($AJ283/12)*(1-N($AG283)*MOD($AJ283,12)/12)),IF($W283="DDB",IF(N($V283)&lt;=0,0,MIN(($S283-N($U283)),$S283-$S283*(1-MIN(1,24/$V283))^INT($AJ283/12)*(1-MIN(1,24/$V283)*MOD($AJ283,12)/12))),IF($W283="SYD",IF(N($V283)&lt;=0,0,($S283-N($U283))*(INT(MIN($AJ283,$V283)/12)*(2*($V283/12)-INT(MIN($AJ283,$V283)/12)+1)/2+MOD(MIN($AJ283,$V283),12)/12*(($V283/12)-INT(MIN($AJ283,$V283)/12)))/(($V283/12)*(($V283/12)+1)/2)),0))))),2))</f>
        <v/>
      </c>
      <c r="Y283" s="23">
        <f>IF($X283="","",$S283-$X283)</f>
        <v/>
      </c>
      <c r="AD283" s="20" t="n"/>
      <c r="AG283" s="24" t="n"/>
      <c r="AH283" s="20" t="n"/>
      <c r="AI283" s="21" t="n"/>
      <c r="AJ283" s="25">
        <f>IF($R283="","",IF($R283&gt;IF($AH283&lt;&gt;"",MIN($AH283,Settings!$B$3),Settings!$B$3),0,(YEAR(IF($AH283&lt;&gt;"",MIN($AH283,Settings!$B$3),Settings!$B$3))-YEAR($R283))*12+MONTH(IF($AH283&lt;&gt;"",MIN($AH283,Settings!$B$3),Settings!$B$3))-MONTH($R283)+1))</f>
        <v/>
      </c>
      <c r="AK283" s="25">
        <f>IF($R283="","",IF($R283&gt;MIN(Settings!$B$4-1,IF($AH283&lt;&gt;"",MIN($AH283,Settings!$B$3),Settings!$B$3)),0,(YEAR(MIN(Settings!$B$4-1,IF($AH283&lt;&gt;"",MIN($AH283,Settings!$B$3),Settings!$B$3)))-YEAR($R283))*12+MONTH(MIN(Settings!$B$4-1,IF($AH283&lt;&gt;"",MIN($AH283,Settings!$B$3),Settings!$B$3)))-MONTH($R283)+1))</f>
        <v/>
      </c>
      <c r="AL283" s="23">
        <f>IF(OR($S283="",$R283=""),"",ROUND(MAX(0,IF($W283="Straight-line",IF(N($V283)&lt;=0,0,($S283-N($U283))*MIN($AK283,$V283)/$V283),IF($W283="Reducing balance",MIN(($S283-N($U283)),$S283-$S283*(1-N($AG283))^INT($AK283/12)*(1-N($AG283)*MOD($AK283,12)/12)),IF($W283="DDB",IF(N($V283)&lt;=0,0,MIN(($S283-N($U283)),$S283-$S283*(1-MIN(1,24/$V283))^INT($AK283/12)*(1-MIN(1,24/$V283)*MOD($AK283,12)/12))),IF($W283="SYD",IF(N($V283)&lt;=0,0,($S283-N($U283))*(INT(MIN($AK283,$V283)/12)*(2*($V283/12)-INT(MIN($AK283,$V283)/12)+1)/2+MOD(MIN($AK283,$V283),12)/12*(($V283/12)-INT(MIN($AK283,$V283)/12)))/(($V283/12)*(($V283/12)+1)/2)),0))))),2))</f>
        <v/>
      </c>
      <c r="AM283" s="23">
        <f>IF($X283="","",$X283-$AL283)</f>
        <v/>
      </c>
      <c r="AN283" s="23">
        <f>IF(OR($AH283="",$Y283=""),"",N($AI283)-$Y283)</f>
        <v/>
      </c>
    </row>
    <row r="284">
      <c r="Q284" s="20" t="n"/>
      <c r="R284" s="20" t="n"/>
      <c r="S284" s="21" t="n"/>
      <c r="U284" s="21" t="n"/>
      <c r="V284" s="22" t="n"/>
      <c r="X284" s="23">
        <f>IF(OR($S284="",$R284=""),"",ROUND(MAX(0,IF($W284="Straight-line",IF(N($V284)&lt;=0,0,($S284-N($U284))*MIN($AJ284,$V284)/$V284),IF($W284="Reducing balance",MIN(($S284-N($U284)),$S284-$S284*(1-N($AG284))^INT($AJ284/12)*(1-N($AG284)*MOD($AJ284,12)/12)),IF($W284="DDB",IF(N($V284)&lt;=0,0,MIN(($S284-N($U284)),$S284-$S284*(1-MIN(1,24/$V284))^INT($AJ284/12)*(1-MIN(1,24/$V284)*MOD($AJ284,12)/12))),IF($W284="SYD",IF(N($V284)&lt;=0,0,($S284-N($U284))*(INT(MIN($AJ284,$V284)/12)*(2*($V284/12)-INT(MIN($AJ284,$V284)/12)+1)/2+MOD(MIN($AJ284,$V284),12)/12*(($V284/12)-INT(MIN($AJ284,$V284)/12)))/(($V284/12)*(($V284/12)+1)/2)),0))))),2))</f>
        <v/>
      </c>
      <c r="Y284" s="23">
        <f>IF($X284="","",$S284-$X284)</f>
        <v/>
      </c>
      <c r="AD284" s="20" t="n"/>
      <c r="AG284" s="24" t="n"/>
      <c r="AH284" s="20" t="n"/>
      <c r="AI284" s="21" t="n"/>
      <c r="AJ284" s="25">
        <f>IF($R284="","",IF($R284&gt;IF($AH284&lt;&gt;"",MIN($AH284,Settings!$B$3),Settings!$B$3),0,(YEAR(IF($AH284&lt;&gt;"",MIN($AH284,Settings!$B$3),Settings!$B$3))-YEAR($R284))*12+MONTH(IF($AH284&lt;&gt;"",MIN($AH284,Settings!$B$3),Settings!$B$3))-MONTH($R284)+1))</f>
        <v/>
      </c>
      <c r="AK284" s="25">
        <f>IF($R284="","",IF($R284&gt;MIN(Settings!$B$4-1,IF($AH284&lt;&gt;"",MIN($AH284,Settings!$B$3),Settings!$B$3)),0,(YEAR(MIN(Settings!$B$4-1,IF($AH284&lt;&gt;"",MIN($AH284,Settings!$B$3),Settings!$B$3)))-YEAR($R284))*12+MONTH(MIN(Settings!$B$4-1,IF($AH284&lt;&gt;"",MIN($AH284,Settings!$B$3),Settings!$B$3)))-MONTH($R284)+1))</f>
        <v/>
      </c>
      <c r="AL284" s="23">
        <f>IF(OR($S284="",$R284=""),"",ROUND(MAX(0,IF($W284="Straight-line",IF(N($V284)&lt;=0,0,($S284-N($U284))*MIN($AK284,$V284)/$V284),IF($W284="Reducing balance",MIN(($S284-N($U284)),$S284-$S284*(1-N($AG284))^INT($AK284/12)*(1-N($AG284)*MOD($AK284,12)/12)),IF($W284="DDB",IF(N($V284)&lt;=0,0,MIN(($S284-N($U284)),$S284-$S284*(1-MIN(1,24/$V284))^INT($AK284/12)*(1-MIN(1,24/$V284)*MOD($AK284,12)/12))),IF($W284="SYD",IF(N($V284)&lt;=0,0,($S284-N($U284))*(INT(MIN($AK284,$V284)/12)*(2*($V284/12)-INT(MIN($AK284,$V284)/12)+1)/2+MOD(MIN($AK284,$V284),12)/12*(($V284/12)-INT(MIN($AK284,$V284)/12)))/(($V284/12)*(($V284/12)+1)/2)),0))))),2))</f>
        <v/>
      </c>
      <c r="AM284" s="23">
        <f>IF($X284="","",$X284-$AL284)</f>
        <v/>
      </c>
      <c r="AN284" s="23">
        <f>IF(OR($AH284="",$Y284=""),"",N($AI284)-$Y284)</f>
        <v/>
      </c>
    </row>
    <row r="285">
      <c r="Q285" s="20" t="n"/>
      <c r="R285" s="20" t="n"/>
      <c r="S285" s="21" t="n"/>
      <c r="U285" s="21" t="n"/>
      <c r="V285" s="22" t="n"/>
      <c r="X285" s="23">
        <f>IF(OR($S285="",$R285=""),"",ROUND(MAX(0,IF($W285="Straight-line",IF(N($V285)&lt;=0,0,($S285-N($U285))*MIN($AJ285,$V285)/$V285),IF($W285="Reducing balance",MIN(($S285-N($U285)),$S285-$S285*(1-N($AG285))^INT($AJ285/12)*(1-N($AG285)*MOD($AJ285,12)/12)),IF($W285="DDB",IF(N($V285)&lt;=0,0,MIN(($S285-N($U285)),$S285-$S285*(1-MIN(1,24/$V285))^INT($AJ285/12)*(1-MIN(1,24/$V285)*MOD($AJ285,12)/12))),IF($W285="SYD",IF(N($V285)&lt;=0,0,($S285-N($U285))*(INT(MIN($AJ285,$V285)/12)*(2*($V285/12)-INT(MIN($AJ285,$V285)/12)+1)/2+MOD(MIN($AJ285,$V285),12)/12*(($V285/12)-INT(MIN($AJ285,$V285)/12)))/(($V285/12)*(($V285/12)+1)/2)),0))))),2))</f>
        <v/>
      </c>
      <c r="Y285" s="23">
        <f>IF($X285="","",$S285-$X285)</f>
        <v/>
      </c>
      <c r="AD285" s="20" t="n"/>
      <c r="AG285" s="24" t="n"/>
      <c r="AH285" s="20" t="n"/>
      <c r="AI285" s="21" t="n"/>
      <c r="AJ285" s="25">
        <f>IF($R285="","",IF($R285&gt;IF($AH285&lt;&gt;"",MIN($AH285,Settings!$B$3),Settings!$B$3),0,(YEAR(IF($AH285&lt;&gt;"",MIN($AH285,Settings!$B$3),Settings!$B$3))-YEAR($R285))*12+MONTH(IF($AH285&lt;&gt;"",MIN($AH285,Settings!$B$3),Settings!$B$3))-MONTH($R285)+1))</f>
        <v/>
      </c>
      <c r="AK285" s="25">
        <f>IF($R285="","",IF($R285&gt;MIN(Settings!$B$4-1,IF($AH285&lt;&gt;"",MIN($AH285,Settings!$B$3),Settings!$B$3)),0,(YEAR(MIN(Settings!$B$4-1,IF($AH285&lt;&gt;"",MIN($AH285,Settings!$B$3),Settings!$B$3)))-YEAR($R285))*12+MONTH(MIN(Settings!$B$4-1,IF($AH285&lt;&gt;"",MIN($AH285,Settings!$B$3),Settings!$B$3)))-MONTH($R285)+1))</f>
        <v/>
      </c>
      <c r="AL285" s="23">
        <f>IF(OR($S285="",$R285=""),"",ROUND(MAX(0,IF($W285="Straight-line",IF(N($V285)&lt;=0,0,($S285-N($U285))*MIN($AK285,$V285)/$V285),IF($W285="Reducing balance",MIN(($S285-N($U285)),$S285-$S285*(1-N($AG285))^INT($AK285/12)*(1-N($AG285)*MOD($AK285,12)/12)),IF($W285="DDB",IF(N($V285)&lt;=0,0,MIN(($S285-N($U285)),$S285-$S285*(1-MIN(1,24/$V285))^INT($AK285/12)*(1-MIN(1,24/$V285)*MOD($AK285,12)/12))),IF($W285="SYD",IF(N($V285)&lt;=0,0,($S285-N($U285))*(INT(MIN($AK285,$V285)/12)*(2*($V285/12)-INT(MIN($AK285,$V285)/12)+1)/2+MOD(MIN($AK285,$V285),12)/12*(($V285/12)-INT(MIN($AK285,$V285)/12)))/(($V285/12)*(($V285/12)+1)/2)),0))))),2))</f>
        <v/>
      </c>
      <c r="AM285" s="23">
        <f>IF($X285="","",$X285-$AL285)</f>
        <v/>
      </c>
      <c r="AN285" s="23">
        <f>IF(OR($AH285="",$Y285=""),"",N($AI285)-$Y285)</f>
        <v/>
      </c>
    </row>
    <row r="286">
      <c r="Q286" s="20" t="n"/>
      <c r="R286" s="20" t="n"/>
      <c r="S286" s="21" t="n"/>
      <c r="U286" s="21" t="n"/>
      <c r="V286" s="22" t="n"/>
      <c r="X286" s="23">
        <f>IF(OR($S286="",$R286=""),"",ROUND(MAX(0,IF($W286="Straight-line",IF(N($V286)&lt;=0,0,($S286-N($U286))*MIN($AJ286,$V286)/$V286),IF($W286="Reducing balance",MIN(($S286-N($U286)),$S286-$S286*(1-N($AG286))^INT($AJ286/12)*(1-N($AG286)*MOD($AJ286,12)/12)),IF($W286="DDB",IF(N($V286)&lt;=0,0,MIN(($S286-N($U286)),$S286-$S286*(1-MIN(1,24/$V286))^INT($AJ286/12)*(1-MIN(1,24/$V286)*MOD($AJ286,12)/12))),IF($W286="SYD",IF(N($V286)&lt;=0,0,($S286-N($U286))*(INT(MIN($AJ286,$V286)/12)*(2*($V286/12)-INT(MIN($AJ286,$V286)/12)+1)/2+MOD(MIN($AJ286,$V286),12)/12*(($V286/12)-INT(MIN($AJ286,$V286)/12)))/(($V286/12)*(($V286/12)+1)/2)),0))))),2))</f>
        <v/>
      </c>
      <c r="Y286" s="23">
        <f>IF($X286="","",$S286-$X286)</f>
        <v/>
      </c>
      <c r="AD286" s="20" t="n"/>
      <c r="AG286" s="24" t="n"/>
      <c r="AH286" s="20" t="n"/>
      <c r="AI286" s="21" t="n"/>
      <c r="AJ286" s="25">
        <f>IF($R286="","",IF($R286&gt;IF($AH286&lt;&gt;"",MIN($AH286,Settings!$B$3),Settings!$B$3),0,(YEAR(IF($AH286&lt;&gt;"",MIN($AH286,Settings!$B$3),Settings!$B$3))-YEAR($R286))*12+MONTH(IF($AH286&lt;&gt;"",MIN($AH286,Settings!$B$3),Settings!$B$3))-MONTH($R286)+1))</f>
        <v/>
      </c>
      <c r="AK286" s="25">
        <f>IF($R286="","",IF($R286&gt;MIN(Settings!$B$4-1,IF($AH286&lt;&gt;"",MIN($AH286,Settings!$B$3),Settings!$B$3)),0,(YEAR(MIN(Settings!$B$4-1,IF($AH286&lt;&gt;"",MIN($AH286,Settings!$B$3),Settings!$B$3)))-YEAR($R286))*12+MONTH(MIN(Settings!$B$4-1,IF($AH286&lt;&gt;"",MIN($AH286,Settings!$B$3),Settings!$B$3)))-MONTH($R286)+1))</f>
        <v/>
      </c>
      <c r="AL286" s="23">
        <f>IF(OR($S286="",$R286=""),"",ROUND(MAX(0,IF($W286="Straight-line",IF(N($V286)&lt;=0,0,($S286-N($U286))*MIN($AK286,$V286)/$V286),IF($W286="Reducing balance",MIN(($S286-N($U286)),$S286-$S286*(1-N($AG286))^INT($AK286/12)*(1-N($AG286)*MOD($AK286,12)/12)),IF($W286="DDB",IF(N($V286)&lt;=0,0,MIN(($S286-N($U286)),$S286-$S286*(1-MIN(1,24/$V286))^INT($AK286/12)*(1-MIN(1,24/$V286)*MOD($AK286,12)/12))),IF($W286="SYD",IF(N($V286)&lt;=0,0,($S286-N($U286))*(INT(MIN($AK286,$V286)/12)*(2*($V286/12)-INT(MIN($AK286,$V286)/12)+1)/2+MOD(MIN($AK286,$V286),12)/12*(($V286/12)-INT(MIN($AK286,$V286)/12)))/(($V286/12)*(($V286/12)+1)/2)),0))))),2))</f>
        <v/>
      </c>
      <c r="AM286" s="23">
        <f>IF($X286="","",$X286-$AL286)</f>
        <v/>
      </c>
      <c r="AN286" s="23">
        <f>IF(OR($AH286="",$Y286=""),"",N($AI286)-$Y286)</f>
        <v/>
      </c>
    </row>
    <row r="287">
      <c r="Q287" s="20" t="n"/>
      <c r="R287" s="20" t="n"/>
      <c r="S287" s="21" t="n"/>
      <c r="U287" s="21" t="n"/>
      <c r="V287" s="22" t="n"/>
      <c r="X287" s="23">
        <f>IF(OR($S287="",$R287=""),"",ROUND(MAX(0,IF($W287="Straight-line",IF(N($V287)&lt;=0,0,($S287-N($U287))*MIN($AJ287,$V287)/$V287),IF($W287="Reducing balance",MIN(($S287-N($U287)),$S287-$S287*(1-N($AG287))^INT($AJ287/12)*(1-N($AG287)*MOD($AJ287,12)/12)),IF($W287="DDB",IF(N($V287)&lt;=0,0,MIN(($S287-N($U287)),$S287-$S287*(1-MIN(1,24/$V287))^INT($AJ287/12)*(1-MIN(1,24/$V287)*MOD($AJ287,12)/12))),IF($W287="SYD",IF(N($V287)&lt;=0,0,($S287-N($U287))*(INT(MIN($AJ287,$V287)/12)*(2*($V287/12)-INT(MIN($AJ287,$V287)/12)+1)/2+MOD(MIN($AJ287,$V287),12)/12*(($V287/12)-INT(MIN($AJ287,$V287)/12)))/(($V287/12)*(($V287/12)+1)/2)),0))))),2))</f>
        <v/>
      </c>
      <c r="Y287" s="23">
        <f>IF($X287="","",$S287-$X287)</f>
        <v/>
      </c>
      <c r="AD287" s="20" t="n"/>
      <c r="AG287" s="24" t="n"/>
      <c r="AH287" s="20" t="n"/>
      <c r="AI287" s="21" t="n"/>
      <c r="AJ287" s="25">
        <f>IF($R287="","",IF($R287&gt;IF($AH287&lt;&gt;"",MIN($AH287,Settings!$B$3),Settings!$B$3),0,(YEAR(IF($AH287&lt;&gt;"",MIN($AH287,Settings!$B$3),Settings!$B$3))-YEAR($R287))*12+MONTH(IF($AH287&lt;&gt;"",MIN($AH287,Settings!$B$3),Settings!$B$3))-MONTH($R287)+1))</f>
        <v/>
      </c>
      <c r="AK287" s="25">
        <f>IF($R287="","",IF($R287&gt;MIN(Settings!$B$4-1,IF($AH287&lt;&gt;"",MIN($AH287,Settings!$B$3),Settings!$B$3)),0,(YEAR(MIN(Settings!$B$4-1,IF($AH287&lt;&gt;"",MIN($AH287,Settings!$B$3),Settings!$B$3)))-YEAR($R287))*12+MONTH(MIN(Settings!$B$4-1,IF($AH287&lt;&gt;"",MIN($AH287,Settings!$B$3),Settings!$B$3)))-MONTH($R287)+1))</f>
        <v/>
      </c>
      <c r="AL287" s="23">
        <f>IF(OR($S287="",$R287=""),"",ROUND(MAX(0,IF($W287="Straight-line",IF(N($V287)&lt;=0,0,($S287-N($U287))*MIN($AK287,$V287)/$V287),IF($W287="Reducing balance",MIN(($S287-N($U287)),$S287-$S287*(1-N($AG287))^INT($AK287/12)*(1-N($AG287)*MOD($AK287,12)/12)),IF($W287="DDB",IF(N($V287)&lt;=0,0,MIN(($S287-N($U287)),$S287-$S287*(1-MIN(1,24/$V287))^INT($AK287/12)*(1-MIN(1,24/$V287)*MOD($AK287,12)/12))),IF($W287="SYD",IF(N($V287)&lt;=0,0,($S287-N($U287))*(INT(MIN($AK287,$V287)/12)*(2*($V287/12)-INT(MIN($AK287,$V287)/12)+1)/2+MOD(MIN($AK287,$V287),12)/12*(($V287/12)-INT(MIN($AK287,$V287)/12)))/(($V287/12)*(($V287/12)+1)/2)),0))))),2))</f>
        <v/>
      </c>
      <c r="AM287" s="23">
        <f>IF($X287="","",$X287-$AL287)</f>
        <v/>
      </c>
      <c r="AN287" s="23">
        <f>IF(OR($AH287="",$Y287=""),"",N($AI287)-$Y287)</f>
        <v/>
      </c>
    </row>
    <row r="288">
      <c r="Q288" s="20" t="n"/>
      <c r="R288" s="20" t="n"/>
      <c r="S288" s="21" t="n"/>
      <c r="U288" s="21" t="n"/>
      <c r="V288" s="22" t="n"/>
      <c r="X288" s="23">
        <f>IF(OR($S288="",$R288=""),"",ROUND(MAX(0,IF($W288="Straight-line",IF(N($V288)&lt;=0,0,($S288-N($U288))*MIN($AJ288,$V288)/$V288),IF($W288="Reducing balance",MIN(($S288-N($U288)),$S288-$S288*(1-N($AG288))^INT($AJ288/12)*(1-N($AG288)*MOD($AJ288,12)/12)),IF($W288="DDB",IF(N($V288)&lt;=0,0,MIN(($S288-N($U288)),$S288-$S288*(1-MIN(1,24/$V288))^INT($AJ288/12)*(1-MIN(1,24/$V288)*MOD($AJ288,12)/12))),IF($W288="SYD",IF(N($V288)&lt;=0,0,($S288-N($U288))*(INT(MIN($AJ288,$V288)/12)*(2*($V288/12)-INT(MIN($AJ288,$V288)/12)+1)/2+MOD(MIN($AJ288,$V288),12)/12*(($V288/12)-INT(MIN($AJ288,$V288)/12)))/(($V288/12)*(($V288/12)+1)/2)),0))))),2))</f>
        <v/>
      </c>
      <c r="Y288" s="23">
        <f>IF($X288="","",$S288-$X288)</f>
        <v/>
      </c>
      <c r="AD288" s="20" t="n"/>
      <c r="AG288" s="24" t="n"/>
      <c r="AH288" s="20" t="n"/>
      <c r="AI288" s="21" t="n"/>
      <c r="AJ288" s="25">
        <f>IF($R288="","",IF($R288&gt;IF($AH288&lt;&gt;"",MIN($AH288,Settings!$B$3),Settings!$B$3),0,(YEAR(IF($AH288&lt;&gt;"",MIN($AH288,Settings!$B$3),Settings!$B$3))-YEAR($R288))*12+MONTH(IF($AH288&lt;&gt;"",MIN($AH288,Settings!$B$3),Settings!$B$3))-MONTH($R288)+1))</f>
        <v/>
      </c>
      <c r="AK288" s="25">
        <f>IF($R288="","",IF($R288&gt;MIN(Settings!$B$4-1,IF($AH288&lt;&gt;"",MIN($AH288,Settings!$B$3),Settings!$B$3)),0,(YEAR(MIN(Settings!$B$4-1,IF($AH288&lt;&gt;"",MIN($AH288,Settings!$B$3),Settings!$B$3)))-YEAR($R288))*12+MONTH(MIN(Settings!$B$4-1,IF($AH288&lt;&gt;"",MIN($AH288,Settings!$B$3),Settings!$B$3)))-MONTH($R288)+1))</f>
        <v/>
      </c>
      <c r="AL288" s="23">
        <f>IF(OR($S288="",$R288=""),"",ROUND(MAX(0,IF($W288="Straight-line",IF(N($V288)&lt;=0,0,($S288-N($U288))*MIN($AK288,$V288)/$V288),IF($W288="Reducing balance",MIN(($S288-N($U288)),$S288-$S288*(1-N($AG288))^INT($AK288/12)*(1-N($AG288)*MOD($AK288,12)/12)),IF($W288="DDB",IF(N($V288)&lt;=0,0,MIN(($S288-N($U288)),$S288-$S288*(1-MIN(1,24/$V288))^INT($AK288/12)*(1-MIN(1,24/$V288)*MOD($AK288,12)/12))),IF($W288="SYD",IF(N($V288)&lt;=0,0,($S288-N($U288))*(INT(MIN($AK288,$V288)/12)*(2*($V288/12)-INT(MIN($AK288,$V288)/12)+1)/2+MOD(MIN($AK288,$V288),12)/12*(($V288/12)-INT(MIN($AK288,$V288)/12)))/(($V288/12)*(($V288/12)+1)/2)),0))))),2))</f>
        <v/>
      </c>
      <c r="AM288" s="23">
        <f>IF($X288="","",$X288-$AL288)</f>
        <v/>
      </c>
      <c r="AN288" s="23">
        <f>IF(OR($AH288="",$Y288=""),"",N($AI288)-$Y288)</f>
        <v/>
      </c>
    </row>
    <row r="289">
      <c r="Q289" s="20" t="n"/>
      <c r="R289" s="20" t="n"/>
      <c r="S289" s="21" t="n"/>
      <c r="U289" s="21" t="n"/>
      <c r="V289" s="22" t="n"/>
      <c r="X289" s="23">
        <f>IF(OR($S289="",$R289=""),"",ROUND(MAX(0,IF($W289="Straight-line",IF(N($V289)&lt;=0,0,($S289-N($U289))*MIN($AJ289,$V289)/$V289),IF($W289="Reducing balance",MIN(($S289-N($U289)),$S289-$S289*(1-N($AG289))^INT($AJ289/12)*(1-N($AG289)*MOD($AJ289,12)/12)),IF($W289="DDB",IF(N($V289)&lt;=0,0,MIN(($S289-N($U289)),$S289-$S289*(1-MIN(1,24/$V289))^INT($AJ289/12)*(1-MIN(1,24/$V289)*MOD($AJ289,12)/12))),IF($W289="SYD",IF(N($V289)&lt;=0,0,($S289-N($U289))*(INT(MIN($AJ289,$V289)/12)*(2*($V289/12)-INT(MIN($AJ289,$V289)/12)+1)/2+MOD(MIN($AJ289,$V289),12)/12*(($V289/12)-INT(MIN($AJ289,$V289)/12)))/(($V289/12)*(($V289/12)+1)/2)),0))))),2))</f>
        <v/>
      </c>
      <c r="Y289" s="23">
        <f>IF($X289="","",$S289-$X289)</f>
        <v/>
      </c>
      <c r="AD289" s="20" t="n"/>
      <c r="AG289" s="24" t="n"/>
      <c r="AH289" s="20" t="n"/>
      <c r="AI289" s="21" t="n"/>
      <c r="AJ289" s="25">
        <f>IF($R289="","",IF($R289&gt;IF($AH289&lt;&gt;"",MIN($AH289,Settings!$B$3),Settings!$B$3),0,(YEAR(IF($AH289&lt;&gt;"",MIN($AH289,Settings!$B$3),Settings!$B$3))-YEAR($R289))*12+MONTH(IF($AH289&lt;&gt;"",MIN($AH289,Settings!$B$3),Settings!$B$3))-MONTH($R289)+1))</f>
        <v/>
      </c>
      <c r="AK289" s="25">
        <f>IF($R289="","",IF($R289&gt;MIN(Settings!$B$4-1,IF($AH289&lt;&gt;"",MIN($AH289,Settings!$B$3),Settings!$B$3)),0,(YEAR(MIN(Settings!$B$4-1,IF($AH289&lt;&gt;"",MIN($AH289,Settings!$B$3),Settings!$B$3)))-YEAR($R289))*12+MONTH(MIN(Settings!$B$4-1,IF($AH289&lt;&gt;"",MIN($AH289,Settings!$B$3),Settings!$B$3)))-MONTH($R289)+1))</f>
        <v/>
      </c>
      <c r="AL289" s="23">
        <f>IF(OR($S289="",$R289=""),"",ROUND(MAX(0,IF($W289="Straight-line",IF(N($V289)&lt;=0,0,($S289-N($U289))*MIN($AK289,$V289)/$V289),IF($W289="Reducing balance",MIN(($S289-N($U289)),$S289-$S289*(1-N($AG289))^INT($AK289/12)*(1-N($AG289)*MOD($AK289,12)/12)),IF($W289="DDB",IF(N($V289)&lt;=0,0,MIN(($S289-N($U289)),$S289-$S289*(1-MIN(1,24/$V289))^INT($AK289/12)*(1-MIN(1,24/$V289)*MOD($AK289,12)/12))),IF($W289="SYD",IF(N($V289)&lt;=0,0,($S289-N($U289))*(INT(MIN($AK289,$V289)/12)*(2*($V289/12)-INT(MIN($AK289,$V289)/12)+1)/2+MOD(MIN($AK289,$V289),12)/12*(($V289/12)-INT(MIN($AK289,$V289)/12)))/(($V289/12)*(($V289/12)+1)/2)),0))))),2))</f>
        <v/>
      </c>
      <c r="AM289" s="23">
        <f>IF($X289="","",$X289-$AL289)</f>
        <v/>
      </c>
      <c r="AN289" s="23">
        <f>IF(OR($AH289="",$Y289=""),"",N($AI289)-$Y289)</f>
        <v/>
      </c>
    </row>
    <row r="290">
      <c r="Q290" s="20" t="n"/>
      <c r="R290" s="20" t="n"/>
      <c r="S290" s="21" t="n"/>
      <c r="U290" s="21" t="n"/>
      <c r="V290" s="22" t="n"/>
      <c r="X290" s="23">
        <f>IF(OR($S290="",$R290=""),"",ROUND(MAX(0,IF($W290="Straight-line",IF(N($V290)&lt;=0,0,($S290-N($U290))*MIN($AJ290,$V290)/$V290),IF($W290="Reducing balance",MIN(($S290-N($U290)),$S290-$S290*(1-N($AG290))^INT($AJ290/12)*(1-N($AG290)*MOD($AJ290,12)/12)),IF($W290="DDB",IF(N($V290)&lt;=0,0,MIN(($S290-N($U290)),$S290-$S290*(1-MIN(1,24/$V290))^INT($AJ290/12)*(1-MIN(1,24/$V290)*MOD($AJ290,12)/12))),IF($W290="SYD",IF(N($V290)&lt;=0,0,($S290-N($U290))*(INT(MIN($AJ290,$V290)/12)*(2*($V290/12)-INT(MIN($AJ290,$V290)/12)+1)/2+MOD(MIN($AJ290,$V290),12)/12*(($V290/12)-INT(MIN($AJ290,$V290)/12)))/(($V290/12)*(($V290/12)+1)/2)),0))))),2))</f>
        <v/>
      </c>
      <c r="Y290" s="23">
        <f>IF($X290="","",$S290-$X290)</f>
        <v/>
      </c>
      <c r="AD290" s="20" t="n"/>
      <c r="AG290" s="24" t="n"/>
      <c r="AH290" s="20" t="n"/>
      <c r="AI290" s="21" t="n"/>
      <c r="AJ290" s="25">
        <f>IF($R290="","",IF($R290&gt;IF($AH290&lt;&gt;"",MIN($AH290,Settings!$B$3),Settings!$B$3),0,(YEAR(IF($AH290&lt;&gt;"",MIN($AH290,Settings!$B$3),Settings!$B$3))-YEAR($R290))*12+MONTH(IF($AH290&lt;&gt;"",MIN($AH290,Settings!$B$3),Settings!$B$3))-MONTH($R290)+1))</f>
        <v/>
      </c>
      <c r="AK290" s="25">
        <f>IF($R290="","",IF($R290&gt;MIN(Settings!$B$4-1,IF($AH290&lt;&gt;"",MIN($AH290,Settings!$B$3),Settings!$B$3)),0,(YEAR(MIN(Settings!$B$4-1,IF($AH290&lt;&gt;"",MIN($AH290,Settings!$B$3),Settings!$B$3)))-YEAR($R290))*12+MONTH(MIN(Settings!$B$4-1,IF($AH290&lt;&gt;"",MIN($AH290,Settings!$B$3),Settings!$B$3)))-MONTH($R290)+1))</f>
        <v/>
      </c>
      <c r="AL290" s="23">
        <f>IF(OR($S290="",$R290=""),"",ROUND(MAX(0,IF($W290="Straight-line",IF(N($V290)&lt;=0,0,($S290-N($U290))*MIN($AK290,$V290)/$V290),IF($W290="Reducing balance",MIN(($S290-N($U290)),$S290-$S290*(1-N($AG290))^INT($AK290/12)*(1-N($AG290)*MOD($AK290,12)/12)),IF($W290="DDB",IF(N($V290)&lt;=0,0,MIN(($S290-N($U290)),$S290-$S290*(1-MIN(1,24/$V290))^INT($AK290/12)*(1-MIN(1,24/$V290)*MOD($AK290,12)/12))),IF($W290="SYD",IF(N($V290)&lt;=0,0,($S290-N($U290))*(INT(MIN($AK290,$V290)/12)*(2*($V290/12)-INT(MIN($AK290,$V290)/12)+1)/2+MOD(MIN($AK290,$V290),12)/12*(($V290/12)-INT(MIN($AK290,$V290)/12)))/(($V290/12)*(($V290/12)+1)/2)),0))))),2))</f>
        <v/>
      </c>
      <c r="AM290" s="23">
        <f>IF($X290="","",$X290-$AL290)</f>
        <v/>
      </c>
      <c r="AN290" s="23">
        <f>IF(OR($AH290="",$Y290=""),"",N($AI290)-$Y290)</f>
        <v/>
      </c>
    </row>
    <row r="291">
      <c r="Q291" s="20" t="n"/>
      <c r="R291" s="20" t="n"/>
      <c r="S291" s="21" t="n"/>
      <c r="U291" s="21" t="n"/>
      <c r="V291" s="22" t="n"/>
      <c r="X291" s="23">
        <f>IF(OR($S291="",$R291=""),"",ROUND(MAX(0,IF($W291="Straight-line",IF(N($V291)&lt;=0,0,($S291-N($U291))*MIN($AJ291,$V291)/$V291),IF($W291="Reducing balance",MIN(($S291-N($U291)),$S291-$S291*(1-N($AG291))^INT($AJ291/12)*(1-N($AG291)*MOD($AJ291,12)/12)),IF($W291="DDB",IF(N($V291)&lt;=0,0,MIN(($S291-N($U291)),$S291-$S291*(1-MIN(1,24/$V291))^INT($AJ291/12)*(1-MIN(1,24/$V291)*MOD($AJ291,12)/12))),IF($W291="SYD",IF(N($V291)&lt;=0,0,($S291-N($U291))*(INT(MIN($AJ291,$V291)/12)*(2*($V291/12)-INT(MIN($AJ291,$V291)/12)+1)/2+MOD(MIN($AJ291,$V291),12)/12*(($V291/12)-INT(MIN($AJ291,$V291)/12)))/(($V291/12)*(($V291/12)+1)/2)),0))))),2))</f>
        <v/>
      </c>
      <c r="Y291" s="23">
        <f>IF($X291="","",$S291-$X291)</f>
        <v/>
      </c>
      <c r="AD291" s="20" t="n"/>
      <c r="AG291" s="24" t="n"/>
      <c r="AH291" s="20" t="n"/>
      <c r="AI291" s="21" t="n"/>
      <c r="AJ291" s="25">
        <f>IF($R291="","",IF($R291&gt;IF($AH291&lt;&gt;"",MIN($AH291,Settings!$B$3),Settings!$B$3),0,(YEAR(IF($AH291&lt;&gt;"",MIN($AH291,Settings!$B$3),Settings!$B$3))-YEAR($R291))*12+MONTH(IF($AH291&lt;&gt;"",MIN($AH291,Settings!$B$3),Settings!$B$3))-MONTH($R291)+1))</f>
        <v/>
      </c>
      <c r="AK291" s="25">
        <f>IF($R291="","",IF($R291&gt;MIN(Settings!$B$4-1,IF($AH291&lt;&gt;"",MIN($AH291,Settings!$B$3),Settings!$B$3)),0,(YEAR(MIN(Settings!$B$4-1,IF($AH291&lt;&gt;"",MIN($AH291,Settings!$B$3),Settings!$B$3)))-YEAR($R291))*12+MONTH(MIN(Settings!$B$4-1,IF($AH291&lt;&gt;"",MIN($AH291,Settings!$B$3),Settings!$B$3)))-MONTH($R291)+1))</f>
        <v/>
      </c>
      <c r="AL291" s="23">
        <f>IF(OR($S291="",$R291=""),"",ROUND(MAX(0,IF($W291="Straight-line",IF(N($V291)&lt;=0,0,($S291-N($U291))*MIN($AK291,$V291)/$V291),IF($W291="Reducing balance",MIN(($S291-N($U291)),$S291-$S291*(1-N($AG291))^INT($AK291/12)*(1-N($AG291)*MOD($AK291,12)/12)),IF($W291="DDB",IF(N($V291)&lt;=0,0,MIN(($S291-N($U291)),$S291-$S291*(1-MIN(1,24/$V291))^INT($AK291/12)*(1-MIN(1,24/$V291)*MOD($AK291,12)/12))),IF($W291="SYD",IF(N($V291)&lt;=0,0,($S291-N($U291))*(INT(MIN($AK291,$V291)/12)*(2*($V291/12)-INT(MIN($AK291,$V291)/12)+1)/2+MOD(MIN($AK291,$V291),12)/12*(($V291/12)-INT(MIN($AK291,$V291)/12)))/(($V291/12)*(($V291/12)+1)/2)),0))))),2))</f>
        <v/>
      </c>
      <c r="AM291" s="23">
        <f>IF($X291="","",$X291-$AL291)</f>
        <v/>
      </c>
      <c r="AN291" s="23">
        <f>IF(OR($AH291="",$Y291=""),"",N($AI291)-$Y291)</f>
        <v/>
      </c>
    </row>
    <row r="292">
      <c r="Q292" s="20" t="n"/>
      <c r="R292" s="20" t="n"/>
      <c r="S292" s="21" t="n"/>
      <c r="U292" s="21" t="n"/>
      <c r="V292" s="22" t="n"/>
      <c r="X292" s="23">
        <f>IF(OR($S292="",$R292=""),"",ROUND(MAX(0,IF($W292="Straight-line",IF(N($V292)&lt;=0,0,($S292-N($U292))*MIN($AJ292,$V292)/$V292),IF($W292="Reducing balance",MIN(($S292-N($U292)),$S292-$S292*(1-N($AG292))^INT($AJ292/12)*(1-N($AG292)*MOD($AJ292,12)/12)),IF($W292="DDB",IF(N($V292)&lt;=0,0,MIN(($S292-N($U292)),$S292-$S292*(1-MIN(1,24/$V292))^INT($AJ292/12)*(1-MIN(1,24/$V292)*MOD($AJ292,12)/12))),IF($W292="SYD",IF(N($V292)&lt;=0,0,($S292-N($U292))*(INT(MIN($AJ292,$V292)/12)*(2*($V292/12)-INT(MIN($AJ292,$V292)/12)+1)/2+MOD(MIN($AJ292,$V292),12)/12*(($V292/12)-INT(MIN($AJ292,$V292)/12)))/(($V292/12)*(($V292/12)+1)/2)),0))))),2))</f>
        <v/>
      </c>
      <c r="Y292" s="23">
        <f>IF($X292="","",$S292-$X292)</f>
        <v/>
      </c>
      <c r="AD292" s="20" t="n"/>
      <c r="AG292" s="24" t="n"/>
      <c r="AH292" s="20" t="n"/>
      <c r="AI292" s="21" t="n"/>
      <c r="AJ292" s="25">
        <f>IF($R292="","",IF($R292&gt;IF($AH292&lt;&gt;"",MIN($AH292,Settings!$B$3),Settings!$B$3),0,(YEAR(IF($AH292&lt;&gt;"",MIN($AH292,Settings!$B$3),Settings!$B$3))-YEAR($R292))*12+MONTH(IF($AH292&lt;&gt;"",MIN($AH292,Settings!$B$3),Settings!$B$3))-MONTH($R292)+1))</f>
        <v/>
      </c>
      <c r="AK292" s="25">
        <f>IF($R292="","",IF($R292&gt;MIN(Settings!$B$4-1,IF($AH292&lt;&gt;"",MIN($AH292,Settings!$B$3),Settings!$B$3)),0,(YEAR(MIN(Settings!$B$4-1,IF($AH292&lt;&gt;"",MIN($AH292,Settings!$B$3),Settings!$B$3)))-YEAR($R292))*12+MONTH(MIN(Settings!$B$4-1,IF($AH292&lt;&gt;"",MIN($AH292,Settings!$B$3),Settings!$B$3)))-MONTH($R292)+1))</f>
        <v/>
      </c>
      <c r="AL292" s="23">
        <f>IF(OR($S292="",$R292=""),"",ROUND(MAX(0,IF($W292="Straight-line",IF(N($V292)&lt;=0,0,($S292-N($U292))*MIN($AK292,$V292)/$V292),IF($W292="Reducing balance",MIN(($S292-N($U292)),$S292-$S292*(1-N($AG292))^INT($AK292/12)*(1-N($AG292)*MOD($AK292,12)/12)),IF($W292="DDB",IF(N($V292)&lt;=0,0,MIN(($S292-N($U292)),$S292-$S292*(1-MIN(1,24/$V292))^INT($AK292/12)*(1-MIN(1,24/$V292)*MOD($AK292,12)/12))),IF($W292="SYD",IF(N($V292)&lt;=0,0,($S292-N($U292))*(INT(MIN($AK292,$V292)/12)*(2*($V292/12)-INT(MIN($AK292,$V292)/12)+1)/2+MOD(MIN($AK292,$V292),12)/12*(($V292/12)-INT(MIN($AK292,$V292)/12)))/(($V292/12)*(($V292/12)+1)/2)),0))))),2))</f>
        <v/>
      </c>
      <c r="AM292" s="23">
        <f>IF($X292="","",$X292-$AL292)</f>
        <v/>
      </c>
      <c r="AN292" s="23">
        <f>IF(OR($AH292="",$Y292=""),"",N($AI292)-$Y292)</f>
        <v/>
      </c>
    </row>
    <row r="293">
      <c r="Q293" s="20" t="n"/>
      <c r="R293" s="20" t="n"/>
      <c r="S293" s="21" t="n"/>
      <c r="U293" s="21" t="n"/>
      <c r="V293" s="22" t="n"/>
      <c r="X293" s="23">
        <f>IF(OR($S293="",$R293=""),"",ROUND(MAX(0,IF($W293="Straight-line",IF(N($V293)&lt;=0,0,($S293-N($U293))*MIN($AJ293,$V293)/$V293),IF($W293="Reducing balance",MIN(($S293-N($U293)),$S293-$S293*(1-N($AG293))^INT($AJ293/12)*(1-N($AG293)*MOD($AJ293,12)/12)),IF($W293="DDB",IF(N($V293)&lt;=0,0,MIN(($S293-N($U293)),$S293-$S293*(1-MIN(1,24/$V293))^INT($AJ293/12)*(1-MIN(1,24/$V293)*MOD($AJ293,12)/12))),IF($W293="SYD",IF(N($V293)&lt;=0,0,($S293-N($U293))*(INT(MIN($AJ293,$V293)/12)*(2*($V293/12)-INT(MIN($AJ293,$V293)/12)+1)/2+MOD(MIN($AJ293,$V293),12)/12*(($V293/12)-INT(MIN($AJ293,$V293)/12)))/(($V293/12)*(($V293/12)+1)/2)),0))))),2))</f>
        <v/>
      </c>
      <c r="Y293" s="23">
        <f>IF($X293="","",$S293-$X293)</f>
        <v/>
      </c>
      <c r="AD293" s="20" t="n"/>
      <c r="AG293" s="24" t="n"/>
      <c r="AH293" s="20" t="n"/>
      <c r="AI293" s="21" t="n"/>
      <c r="AJ293" s="25">
        <f>IF($R293="","",IF($R293&gt;IF($AH293&lt;&gt;"",MIN($AH293,Settings!$B$3),Settings!$B$3),0,(YEAR(IF($AH293&lt;&gt;"",MIN($AH293,Settings!$B$3),Settings!$B$3))-YEAR($R293))*12+MONTH(IF($AH293&lt;&gt;"",MIN($AH293,Settings!$B$3),Settings!$B$3))-MONTH($R293)+1))</f>
        <v/>
      </c>
      <c r="AK293" s="25">
        <f>IF($R293="","",IF($R293&gt;MIN(Settings!$B$4-1,IF($AH293&lt;&gt;"",MIN($AH293,Settings!$B$3),Settings!$B$3)),0,(YEAR(MIN(Settings!$B$4-1,IF($AH293&lt;&gt;"",MIN($AH293,Settings!$B$3),Settings!$B$3)))-YEAR($R293))*12+MONTH(MIN(Settings!$B$4-1,IF($AH293&lt;&gt;"",MIN($AH293,Settings!$B$3),Settings!$B$3)))-MONTH($R293)+1))</f>
        <v/>
      </c>
      <c r="AL293" s="23">
        <f>IF(OR($S293="",$R293=""),"",ROUND(MAX(0,IF($W293="Straight-line",IF(N($V293)&lt;=0,0,($S293-N($U293))*MIN($AK293,$V293)/$V293),IF($W293="Reducing balance",MIN(($S293-N($U293)),$S293-$S293*(1-N($AG293))^INT($AK293/12)*(1-N($AG293)*MOD($AK293,12)/12)),IF($W293="DDB",IF(N($V293)&lt;=0,0,MIN(($S293-N($U293)),$S293-$S293*(1-MIN(1,24/$V293))^INT($AK293/12)*(1-MIN(1,24/$V293)*MOD($AK293,12)/12))),IF($W293="SYD",IF(N($V293)&lt;=0,0,($S293-N($U293))*(INT(MIN($AK293,$V293)/12)*(2*($V293/12)-INT(MIN($AK293,$V293)/12)+1)/2+MOD(MIN($AK293,$V293),12)/12*(($V293/12)-INT(MIN($AK293,$V293)/12)))/(($V293/12)*(($V293/12)+1)/2)),0))))),2))</f>
        <v/>
      </c>
      <c r="AM293" s="23">
        <f>IF($X293="","",$X293-$AL293)</f>
        <v/>
      </c>
      <c r="AN293" s="23">
        <f>IF(OR($AH293="",$Y293=""),"",N($AI293)-$Y293)</f>
        <v/>
      </c>
    </row>
    <row r="294">
      <c r="Q294" s="20" t="n"/>
      <c r="R294" s="20" t="n"/>
      <c r="S294" s="21" t="n"/>
      <c r="U294" s="21" t="n"/>
      <c r="V294" s="22" t="n"/>
      <c r="X294" s="23">
        <f>IF(OR($S294="",$R294=""),"",ROUND(MAX(0,IF($W294="Straight-line",IF(N($V294)&lt;=0,0,($S294-N($U294))*MIN($AJ294,$V294)/$V294),IF($W294="Reducing balance",MIN(($S294-N($U294)),$S294-$S294*(1-N($AG294))^INT($AJ294/12)*(1-N($AG294)*MOD($AJ294,12)/12)),IF($W294="DDB",IF(N($V294)&lt;=0,0,MIN(($S294-N($U294)),$S294-$S294*(1-MIN(1,24/$V294))^INT($AJ294/12)*(1-MIN(1,24/$V294)*MOD($AJ294,12)/12))),IF($W294="SYD",IF(N($V294)&lt;=0,0,($S294-N($U294))*(INT(MIN($AJ294,$V294)/12)*(2*($V294/12)-INT(MIN($AJ294,$V294)/12)+1)/2+MOD(MIN($AJ294,$V294),12)/12*(($V294/12)-INT(MIN($AJ294,$V294)/12)))/(($V294/12)*(($V294/12)+1)/2)),0))))),2))</f>
        <v/>
      </c>
      <c r="Y294" s="23">
        <f>IF($X294="","",$S294-$X294)</f>
        <v/>
      </c>
      <c r="AD294" s="20" t="n"/>
      <c r="AG294" s="24" t="n"/>
      <c r="AH294" s="20" t="n"/>
      <c r="AI294" s="21" t="n"/>
      <c r="AJ294" s="25">
        <f>IF($R294="","",IF($R294&gt;IF($AH294&lt;&gt;"",MIN($AH294,Settings!$B$3),Settings!$B$3),0,(YEAR(IF($AH294&lt;&gt;"",MIN($AH294,Settings!$B$3),Settings!$B$3))-YEAR($R294))*12+MONTH(IF($AH294&lt;&gt;"",MIN($AH294,Settings!$B$3),Settings!$B$3))-MONTH($R294)+1))</f>
        <v/>
      </c>
      <c r="AK294" s="25">
        <f>IF($R294="","",IF($R294&gt;MIN(Settings!$B$4-1,IF($AH294&lt;&gt;"",MIN($AH294,Settings!$B$3),Settings!$B$3)),0,(YEAR(MIN(Settings!$B$4-1,IF($AH294&lt;&gt;"",MIN($AH294,Settings!$B$3),Settings!$B$3)))-YEAR($R294))*12+MONTH(MIN(Settings!$B$4-1,IF($AH294&lt;&gt;"",MIN($AH294,Settings!$B$3),Settings!$B$3)))-MONTH($R294)+1))</f>
        <v/>
      </c>
      <c r="AL294" s="23">
        <f>IF(OR($S294="",$R294=""),"",ROUND(MAX(0,IF($W294="Straight-line",IF(N($V294)&lt;=0,0,($S294-N($U294))*MIN($AK294,$V294)/$V294),IF($W294="Reducing balance",MIN(($S294-N($U294)),$S294-$S294*(1-N($AG294))^INT($AK294/12)*(1-N($AG294)*MOD($AK294,12)/12)),IF($W294="DDB",IF(N($V294)&lt;=0,0,MIN(($S294-N($U294)),$S294-$S294*(1-MIN(1,24/$V294))^INT($AK294/12)*(1-MIN(1,24/$V294)*MOD($AK294,12)/12))),IF($W294="SYD",IF(N($V294)&lt;=0,0,($S294-N($U294))*(INT(MIN($AK294,$V294)/12)*(2*($V294/12)-INT(MIN($AK294,$V294)/12)+1)/2+MOD(MIN($AK294,$V294),12)/12*(($V294/12)-INT(MIN($AK294,$V294)/12)))/(($V294/12)*(($V294/12)+1)/2)),0))))),2))</f>
        <v/>
      </c>
      <c r="AM294" s="23">
        <f>IF($X294="","",$X294-$AL294)</f>
        <v/>
      </c>
      <c r="AN294" s="23">
        <f>IF(OR($AH294="",$Y294=""),"",N($AI294)-$Y294)</f>
        <v/>
      </c>
    </row>
    <row r="295">
      <c r="Q295" s="20" t="n"/>
      <c r="R295" s="20" t="n"/>
      <c r="S295" s="21" t="n"/>
      <c r="U295" s="21" t="n"/>
      <c r="V295" s="22" t="n"/>
      <c r="X295" s="23">
        <f>IF(OR($S295="",$R295=""),"",ROUND(MAX(0,IF($W295="Straight-line",IF(N($V295)&lt;=0,0,($S295-N($U295))*MIN($AJ295,$V295)/$V295),IF($W295="Reducing balance",MIN(($S295-N($U295)),$S295-$S295*(1-N($AG295))^INT($AJ295/12)*(1-N($AG295)*MOD($AJ295,12)/12)),IF($W295="DDB",IF(N($V295)&lt;=0,0,MIN(($S295-N($U295)),$S295-$S295*(1-MIN(1,24/$V295))^INT($AJ295/12)*(1-MIN(1,24/$V295)*MOD($AJ295,12)/12))),IF($W295="SYD",IF(N($V295)&lt;=0,0,($S295-N($U295))*(INT(MIN($AJ295,$V295)/12)*(2*($V295/12)-INT(MIN($AJ295,$V295)/12)+1)/2+MOD(MIN($AJ295,$V295),12)/12*(($V295/12)-INT(MIN($AJ295,$V295)/12)))/(($V295/12)*(($V295/12)+1)/2)),0))))),2))</f>
        <v/>
      </c>
      <c r="Y295" s="23">
        <f>IF($X295="","",$S295-$X295)</f>
        <v/>
      </c>
      <c r="AD295" s="20" t="n"/>
      <c r="AG295" s="24" t="n"/>
      <c r="AH295" s="20" t="n"/>
      <c r="AI295" s="21" t="n"/>
      <c r="AJ295" s="25">
        <f>IF($R295="","",IF($R295&gt;IF($AH295&lt;&gt;"",MIN($AH295,Settings!$B$3),Settings!$B$3),0,(YEAR(IF($AH295&lt;&gt;"",MIN($AH295,Settings!$B$3),Settings!$B$3))-YEAR($R295))*12+MONTH(IF($AH295&lt;&gt;"",MIN($AH295,Settings!$B$3),Settings!$B$3))-MONTH($R295)+1))</f>
        <v/>
      </c>
      <c r="AK295" s="25">
        <f>IF($R295="","",IF($R295&gt;MIN(Settings!$B$4-1,IF($AH295&lt;&gt;"",MIN($AH295,Settings!$B$3),Settings!$B$3)),0,(YEAR(MIN(Settings!$B$4-1,IF($AH295&lt;&gt;"",MIN($AH295,Settings!$B$3),Settings!$B$3)))-YEAR($R295))*12+MONTH(MIN(Settings!$B$4-1,IF($AH295&lt;&gt;"",MIN($AH295,Settings!$B$3),Settings!$B$3)))-MONTH($R295)+1))</f>
        <v/>
      </c>
      <c r="AL295" s="23">
        <f>IF(OR($S295="",$R295=""),"",ROUND(MAX(0,IF($W295="Straight-line",IF(N($V295)&lt;=0,0,($S295-N($U295))*MIN($AK295,$V295)/$V295),IF($W295="Reducing balance",MIN(($S295-N($U295)),$S295-$S295*(1-N($AG295))^INT($AK295/12)*(1-N($AG295)*MOD($AK295,12)/12)),IF($W295="DDB",IF(N($V295)&lt;=0,0,MIN(($S295-N($U295)),$S295-$S295*(1-MIN(1,24/$V295))^INT($AK295/12)*(1-MIN(1,24/$V295)*MOD($AK295,12)/12))),IF($W295="SYD",IF(N($V295)&lt;=0,0,($S295-N($U295))*(INT(MIN($AK295,$V295)/12)*(2*($V295/12)-INT(MIN($AK295,$V295)/12)+1)/2+MOD(MIN($AK295,$V295),12)/12*(($V295/12)-INT(MIN($AK295,$V295)/12)))/(($V295/12)*(($V295/12)+1)/2)),0))))),2))</f>
        <v/>
      </c>
      <c r="AM295" s="23">
        <f>IF($X295="","",$X295-$AL295)</f>
        <v/>
      </c>
      <c r="AN295" s="23">
        <f>IF(OR($AH295="",$Y295=""),"",N($AI295)-$Y295)</f>
        <v/>
      </c>
    </row>
    <row r="296">
      <c r="Q296" s="20" t="n"/>
      <c r="R296" s="20" t="n"/>
      <c r="S296" s="21" t="n"/>
      <c r="U296" s="21" t="n"/>
      <c r="V296" s="22" t="n"/>
      <c r="X296" s="23">
        <f>IF(OR($S296="",$R296=""),"",ROUND(MAX(0,IF($W296="Straight-line",IF(N($V296)&lt;=0,0,($S296-N($U296))*MIN($AJ296,$V296)/$V296),IF($W296="Reducing balance",MIN(($S296-N($U296)),$S296-$S296*(1-N($AG296))^INT($AJ296/12)*(1-N($AG296)*MOD($AJ296,12)/12)),IF($W296="DDB",IF(N($V296)&lt;=0,0,MIN(($S296-N($U296)),$S296-$S296*(1-MIN(1,24/$V296))^INT($AJ296/12)*(1-MIN(1,24/$V296)*MOD($AJ296,12)/12))),IF($W296="SYD",IF(N($V296)&lt;=0,0,($S296-N($U296))*(INT(MIN($AJ296,$V296)/12)*(2*($V296/12)-INT(MIN($AJ296,$V296)/12)+1)/2+MOD(MIN($AJ296,$V296),12)/12*(($V296/12)-INT(MIN($AJ296,$V296)/12)))/(($V296/12)*(($V296/12)+1)/2)),0))))),2))</f>
        <v/>
      </c>
      <c r="Y296" s="23">
        <f>IF($X296="","",$S296-$X296)</f>
        <v/>
      </c>
      <c r="AD296" s="20" t="n"/>
      <c r="AG296" s="24" t="n"/>
      <c r="AH296" s="20" t="n"/>
      <c r="AI296" s="21" t="n"/>
      <c r="AJ296" s="25">
        <f>IF($R296="","",IF($R296&gt;IF($AH296&lt;&gt;"",MIN($AH296,Settings!$B$3),Settings!$B$3),0,(YEAR(IF($AH296&lt;&gt;"",MIN($AH296,Settings!$B$3),Settings!$B$3))-YEAR($R296))*12+MONTH(IF($AH296&lt;&gt;"",MIN($AH296,Settings!$B$3),Settings!$B$3))-MONTH($R296)+1))</f>
        <v/>
      </c>
      <c r="AK296" s="25">
        <f>IF($R296="","",IF($R296&gt;MIN(Settings!$B$4-1,IF($AH296&lt;&gt;"",MIN($AH296,Settings!$B$3),Settings!$B$3)),0,(YEAR(MIN(Settings!$B$4-1,IF($AH296&lt;&gt;"",MIN($AH296,Settings!$B$3),Settings!$B$3)))-YEAR($R296))*12+MONTH(MIN(Settings!$B$4-1,IF($AH296&lt;&gt;"",MIN($AH296,Settings!$B$3),Settings!$B$3)))-MONTH($R296)+1))</f>
        <v/>
      </c>
      <c r="AL296" s="23">
        <f>IF(OR($S296="",$R296=""),"",ROUND(MAX(0,IF($W296="Straight-line",IF(N($V296)&lt;=0,0,($S296-N($U296))*MIN($AK296,$V296)/$V296),IF($W296="Reducing balance",MIN(($S296-N($U296)),$S296-$S296*(1-N($AG296))^INT($AK296/12)*(1-N($AG296)*MOD($AK296,12)/12)),IF($W296="DDB",IF(N($V296)&lt;=0,0,MIN(($S296-N($U296)),$S296-$S296*(1-MIN(1,24/$V296))^INT($AK296/12)*(1-MIN(1,24/$V296)*MOD($AK296,12)/12))),IF($W296="SYD",IF(N($V296)&lt;=0,0,($S296-N($U296))*(INT(MIN($AK296,$V296)/12)*(2*($V296/12)-INT(MIN($AK296,$V296)/12)+1)/2+MOD(MIN($AK296,$V296),12)/12*(($V296/12)-INT(MIN($AK296,$V296)/12)))/(($V296/12)*(($V296/12)+1)/2)),0))))),2))</f>
        <v/>
      </c>
      <c r="AM296" s="23">
        <f>IF($X296="","",$X296-$AL296)</f>
        <v/>
      </c>
      <c r="AN296" s="23">
        <f>IF(OR($AH296="",$Y296=""),"",N($AI296)-$Y296)</f>
        <v/>
      </c>
    </row>
    <row r="297">
      <c r="Q297" s="20" t="n"/>
      <c r="R297" s="20" t="n"/>
      <c r="S297" s="21" t="n"/>
      <c r="U297" s="21" t="n"/>
      <c r="V297" s="22" t="n"/>
      <c r="X297" s="23">
        <f>IF(OR($S297="",$R297=""),"",ROUND(MAX(0,IF($W297="Straight-line",IF(N($V297)&lt;=0,0,($S297-N($U297))*MIN($AJ297,$V297)/$V297),IF($W297="Reducing balance",MIN(($S297-N($U297)),$S297-$S297*(1-N($AG297))^INT($AJ297/12)*(1-N($AG297)*MOD($AJ297,12)/12)),IF($W297="DDB",IF(N($V297)&lt;=0,0,MIN(($S297-N($U297)),$S297-$S297*(1-MIN(1,24/$V297))^INT($AJ297/12)*(1-MIN(1,24/$V297)*MOD($AJ297,12)/12))),IF($W297="SYD",IF(N($V297)&lt;=0,0,($S297-N($U297))*(INT(MIN($AJ297,$V297)/12)*(2*($V297/12)-INT(MIN($AJ297,$V297)/12)+1)/2+MOD(MIN($AJ297,$V297),12)/12*(($V297/12)-INT(MIN($AJ297,$V297)/12)))/(($V297/12)*(($V297/12)+1)/2)),0))))),2))</f>
        <v/>
      </c>
      <c r="Y297" s="23">
        <f>IF($X297="","",$S297-$X297)</f>
        <v/>
      </c>
      <c r="AD297" s="20" t="n"/>
      <c r="AG297" s="24" t="n"/>
      <c r="AH297" s="20" t="n"/>
      <c r="AI297" s="21" t="n"/>
      <c r="AJ297" s="25">
        <f>IF($R297="","",IF($R297&gt;IF($AH297&lt;&gt;"",MIN($AH297,Settings!$B$3),Settings!$B$3),0,(YEAR(IF($AH297&lt;&gt;"",MIN($AH297,Settings!$B$3),Settings!$B$3))-YEAR($R297))*12+MONTH(IF($AH297&lt;&gt;"",MIN($AH297,Settings!$B$3),Settings!$B$3))-MONTH($R297)+1))</f>
        <v/>
      </c>
      <c r="AK297" s="25">
        <f>IF($R297="","",IF($R297&gt;MIN(Settings!$B$4-1,IF($AH297&lt;&gt;"",MIN($AH297,Settings!$B$3),Settings!$B$3)),0,(YEAR(MIN(Settings!$B$4-1,IF($AH297&lt;&gt;"",MIN($AH297,Settings!$B$3),Settings!$B$3)))-YEAR($R297))*12+MONTH(MIN(Settings!$B$4-1,IF($AH297&lt;&gt;"",MIN($AH297,Settings!$B$3),Settings!$B$3)))-MONTH($R297)+1))</f>
        <v/>
      </c>
      <c r="AL297" s="23">
        <f>IF(OR($S297="",$R297=""),"",ROUND(MAX(0,IF($W297="Straight-line",IF(N($V297)&lt;=0,0,($S297-N($U297))*MIN($AK297,$V297)/$V297),IF($W297="Reducing balance",MIN(($S297-N($U297)),$S297-$S297*(1-N($AG297))^INT($AK297/12)*(1-N($AG297)*MOD($AK297,12)/12)),IF($W297="DDB",IF(N($V297)&lt;=0,0,MIN(($S297-N($U297)),$S297-$S297*(1-MIN(1,24/$V297))^INT($AK297/12)*(1-MIN(1,24/$V297)*MOD($AK297,12)/12))),IF($W297="SYD",IF(N($V297)&lt;=0,0,($S297-N($U297))*(INT(MIN($AK297,$V297)/12)*(2*($V297/12)-INT(MIN($AK297,$V297)/12)+1)/2+MOD(MIN($AK297,$V297),12)/12*(($V297/12)-INT(MIN($AK297,$V297)/12)))/(($V297/12)*(($V297/12)+1)/2)),0))))),2))</f>
        <v/>
      </c>
      <c r="AM297" s="23">
        <f>IF($X297="","",$X297-$AL297)</f>
        <v/>
      </c>
      <c r="AN297" s="23">
        <f>IF(OR($AH297="",$Y297=""),"",N($AI297)-$Y297)</f>
        <v/>
      </c>
    </row>
    <row r="298">
      <c r="Q298" s="20" t="n"/>
      <c r="R298" s="20" t="n"/>
      <c r="S298" s="21" t="n"/>
      <c r="U298" s="21" t="n"/>
      <c r="V298" s="22" t="n"/>
      <c r="X298" s="23">
        <f>IF(OR($S298="",$R298=""),"",ROUND(MAX(0,IF($W298="Straight-line",IF(N($V298)&lt;=0,0,($S298-N($U298))*MIN($AJ298,$V298)/$V298),IF($W298="Reducing balance",MIN(($S298-N($U298)),$S298-$S298*(1-N($AG298))^INT($AJ298/12)*(1-N($AG298)*MOD($AJ298,12)/12)),IF($W298="DDB",IF(N($V298)&lt;=0,0,MIN(($S298-N($U298)),$S298-$S298*(1-MIN(1,24/$V298))^INT($AJ298/12)*(1-MIN(1,24/$V298)*MOD($AJ298,12)/12))),IF($W298="SYD",IF(N($V298)&lt;=0,0,($S298-N($U298))*(INT(MIN($AJ298,$V298)/12)*(2*($V298/12)-INT(MIN($AJ298,$V298)/12)+1)/2+MOD(MIN($AJ298,$V298),12)/12*(($V298/12)-INT(MIN($AJ298,$V298)/12)))/(($V298/12)*(($V298/12)+1)/2)),0))))),2))</f>
        <v/>
      </c>
      <c r="Y298" s="23">
        <f>IF($X298="","",$S298-$X298)</f>
        <v/>
      </c>
      <c r="AD298" s="20" t="n"/>
      <c r="AG298" s="24" t="n"/>
      <c r="AH298" s="20" t="n"/>
      <c r="AI298" s="21" t="n"/>
      <c r="AJ298" s="25">
        <f>IF($R298="","",IF($R298&gt;IF($AH298&lt;&gt;"",MIN($AH298,Settings!$B$3),Settings!$B$3),0,(YEAR(IF($AH298&lt;&gt;"",MIN($AH298,Settings!$B$3),Settings!$B$3))-YEAR($R298))*12+MONTH(IF($AH298&lt;&gt;"",MIN($AH298,Settings!$B$3),Settings!$B$3))-MONTH($R298)+1))</f>
        <v/>
      </c>
      <c r="AK298" s="25">
        <f>IF($R298="","",IF($R298&gt;MIN(Settings!$B$4-1,IF($AH298&lt;&gt;"",MIN($AH298,Settings!$B$3),Settings!$B$3)),0,(YEAR(MIN(Settings!$B$4-1,IF($AH298&lt;&gt;"",MIN($AH298,Settings!$B$3),Settings!$B$3)))-YEAR($R298))*12+MONTH(MIN(Settings!$B$4-1,IF($AH298&lt;&gt;"",MIN($AH298,Settings!$B$3),Settings!$B$3)))-MONTH($R298)+1))</f>
        <v/>
      </c>
      <c r="AL298" s="23">
        <f>IF(OR($S298="",$R298=""),"",ROUND(MAX(0,IF($W298="Straight-line",IF(N($V298)&lt;=0,0,($S298-N($U298))*MIN($AK298,$V298)/$V298),IF($W298="Reducing balance",MIN(($S298-N($U298)),$S298-$S298*(1-N($AG298))^INT($AK298/12)*(1-N($AG298)*MOD($AK298,12)/12)),IF($W298="DDB",IF(N($V298)&lt;=0,0,MIN(($S298-N($U298)),$S298-$S298*(1-MIN(1,24/$V298))^INT($AK298/12)*(1-MIN(1,24/$V298)*MOD($AK298,12)/12))),IF($W298="SYD",IF(N($V298)&lt;=0,0,($S298-N($U298))*(INT(MIN($AK298,$V298)/12)*(2*($V298/12)-INT(MIN($AK298,$V298)/12)+1)/2+MOD(MIN($AK298,$V298),12)/12*(($V298/12)-INT(MIN($AK298,$V298)/12)))/(($V298/12)*(($V298/12)+1)/2)),0))))),2))</f>
        <v/>
      </c>
      <c r="AM298" s="23">
        <f>IF($X298="","",$X298-$AL298)</f>
        <v/>
      </c>
      <c r="AN298" s="23">
        <f>IF(OR($AH298="",$Y298=""),"",N($AI298)-$Y298)</f>
        <v/>
      </c>
    </row>
    <row r="299">
      <c r="Q299" s="20" t="n"/>
      <c r="R299" s="20" t="n"/>
      <c r="S299" s="21" t="n"/>
      <c r="U299" s="21" t="n"/>
      <c r="V299" s="22" t="n"/>
      <c r="X299" s="23">
        <f>IF(OR($S299="",$R299=""),"",ROUND(MAX(0,IF($W299="Straight-line",IF(N($V299)&lt;=0,0,($S299-N($U299))*MIN($AJ299,$V299)/$V299),IF($W299="Reducing balance",MIN(($S299-N($U299)),$S299-$S299*(1-N($AG299))^INT($AJ299/12)*(1-N($AG299)*MOD($AJ299,12)/12)),IF($W299="DDB",IF(N($V299)&lt;=0,0,MIN(($S299-N($U299)),$S299-$S299*(1-MIN(1,24/$V299))^INT($AJ299/12)*(1-MIN(1,24/$V299)*MOD($AJ299,12)/12))),IF($W299="SYD",IF(N($V299)&lt;=0,0,($S299-N($U299))*(INT(MIN($AJ299,$V299)/12)*(2*($V299/12)-INT(MIN($AJ299,$V299)/12)+1)/2+MOD(MIN($AJ299,$V299),12)/12*(($V299/12)-INT(MIN($AJ299,$V299)/12)))/(($V299/12)*(($V299/12)+1)/2)),0))))),2))</f>
        <v/>
      </c>
      <c r="Y299" s="23">
        <f>IF($X299="","",$S299-$X299)</f>
        <v/>
      </c>
      <c r="AD299" s="20" t="n"/>
      <c r="AG299" s="24" t="n"/>
      <c r="AH299" s="20" t="n"/>
      <c r="AI299" s="21" t="n"/>
      <c r="AJ299" s="25">
        <f>IF($R299="","",IF($R299&gt;IF($AH299&lt;&gt;"",MIN($AH299,Settings!$B$3),Settings!$B$3),0,(YEAR(IF($AH299&lt;&gt;"",MIN($AH299,Settings!$B$3),Settings!$B$3))-YEAR($R299))*12+MONTH(IF($AH299&lt;&gt;"",MIN($AH299,Settings!$B$3),Settings!$B$3))-MONTH($R299)+1))</f>
        <v/>
      </c>
      <c r="AK299" s="25">
        <f>IF($R299="","",IF($R299&gt;MIN(Settings!$B$4-1,IF($AH299&lt;&gt;"",MIN($AH299,Settings!$B$3),Settings!$B$3)),0,(YEAR(MIN(Settings!$B$4-1,IF($AH299&lt;&gt;"",MIN($AH299,Settings!$B$3),Settings!$B$3)))-YEAR($R299))*12+MONTH(MIN(Settings!$B$4-1,IF($AH299&lt;&gt;"",MIN($AH299,Settings!$B$3),Settings!$B$3)))-MONTH($R299)+1))</f>
        <v/>
      </c>
      <c r="AL299" s="23">
        <f>IF(OR($S299="",$R299=""),"",ROUND(MAX(0,IF($W299="Straight-line",IF(N($V299)&lt;=0,0,($S299-N($U299))*MIN($AK299,$V299)/$V299),IF($W299="Reducing balance",MIN(($S299-N($U299)),$S299-$S299*(1-N($AG299))^INT($AK299/12)*(1-N($AG299)*MOD($AK299,12)/12)),IF($W299="DDB",IF(N($V299)&lt;=0,0,MIN(($S299-N($U299)),$S299-$S299*(1-MIN(1,24/$V299))^INT($AK299/12)*(1-MIN(1,24/$V299)*MOD($AK299,12)/12))),IF($W299="SYD",IF(N($V299)&lt;=0,0,($S299-N($U299))*(INT(MIN($AK299,$V299)/12)*(2*($V299/12)-INT(MIN($AK299,$V299)/12)+1)/2+MOD(MIN($AK299,$V299),12)/12*(($V299/12)-INT(MIN($AK299,$V299)/12)))/(($V299/12)*(($V299/12)+1)/2)),0))))),2))</f>
        <v/>
      </c>
      <c r="AM299" s="23">
        <f>IF($X299="","",$X299-$AL299)</f>
        <v/>
      </c>
      <c r="AN299" s="23">
        <f>IF(OR($AH299="",$Y299=""),"",N($AI299)-$Y299)</f>
        <v/>
      </c>
    </row>
    <row r="300">
      <c r="Q300" s="20" t="n"/>
      <c r="R300" s="20" t="n"/>
      <c r="S300" s="21" t="n"/>
      <c r="U300" s="21" t="n"/>
      <c r="V300" s="22" t="n"/>
      <c r="X300" s="23">
        <f>IF(OR($S300="",$R300=""),"",ROUND(MAX(0,IF($W300="Straight-line",IF(N($V300)&lt;=0,0,($S300-N($U300))*MIN($AJ300,$V300)/$V300),IF($W300="Reducing balance",MIN(($S300-N($U300)),$S300-$S300*(1-N($AG300))^INT($AJ300/12)*(1-N($AG300)*MOD($AJ300,12)/12)),IF($W300="DDB",IF(N($V300)&lt;=0,0,MIN(($S300-N($U300)),$S300-$S300*(1-MIN(1,24/$V300))^INT($AJ300/12)*(1-MIN(1,24/$V300)*MOD($AJ300,12)/12))),IF($W300="SYD",IF(N($V300)&lt;=0,0,($S300-N($U300))*(INT(MIN($AJ300,$V300)/12)*(2*($V300/12)-INT(MIN($AJ300,$V300)/12)+1)/2+MOD(MIN($AJ300,$V300),12)/12*(($V300/12)-INT(MIN($AJ300,$V300)/12)))/(($V300/12)*(($V300/12)+1)/2)),0))))),2))</f>
        <v/>
      </c>
      <c r="Y300" s="23">
        <f>IF($X300="","",$S300-$X300)</f>
        <v/>
      </c>
      <c r="AD300" s="20" t="n"/>
      <c r="AG300" s="24" t="n"/>
      <c r="AH300" s="20" t="n"/>
      <c r="AI300" s="21" t="n"/>
      <c r="AJ300" s="25">
        <f>IF($R300="","",IF($R300&gt;IF($AH300&lt;&gt;"",MIN($AH300,Settings!$B$3),Settings!$B$3),0,(YEAR(IF($AH300&lt;&gt;"",MIN($AH300,Settings!$B$3),Settings!$B$3))-YEAR($R300))*12+MONTH(IF($AH300&lt;&gt;"",MIN($AH300,Settings!$B$3),Settings!$B$3))-MONTH($R300)+1))</f>
        <v/>
      </c>
      <c r="AK300" s="25">
        <f>IF($R300="","",IF($R300&gt;MIN(Settings!$B$4-1,IF($AH300&lt;&gt;"",MIN($AH300,Settings!$B$3),Settings!$B$3)),0,(YEAR(MIN(Settings!$B$4-1,IF($AH300&lt;&gt;"",MIN($AH300,Settings!$B$3),Settings!$B$3)))-YEAR($R300))*12+MONTH(MIN(Settings!$B$4-1,IF($AH300&lt;&gt;"",MIN($AH300,Settings!$B$3),Settings!$B$3)))-MONTH($R300)+1))</f>
        <v/>
      </c>
      <c r="AL300" s="23">
        <f>IF(OR($S300="",$R300=""),"",ROUND(MAX(0,IF($W300="Straight-line",IF(N($V300)&lt;=0,0,($S300-N($U300))*MIN($AK300,$V300)/$V300),IF($W300="Reducing balance",MIN(($S300-N($U300)),$S300-$S300*(1-N($AG300))^INT($AK300/12)*(1-N($AG300)*MOD($AK300,12)/12)),IF($W300="DDB",IF(N($V300)&lt;=0,0,MIN(($S300-N($U300)),$S300-$S300*(1-MIN(1,24/$V300))^INT($AK300/12)*(1-MIN(1,24/$V300)*MOD($AK300,12)/12))),IF($W300="SYD",IF(N($V300)&lt;=0,0,($S300-N($U300))*(INT(MIN($AK300,$V300)/12)*(2*($V300/12)-INT(MIN($AK300,$V300)/12)+1)/2+MOD(MIN($AK300,$V300),12)/12*(($V300/12)-INT(MIN($AK300,$V300)/12)))/(($V300/12)*(($V300/12)+1)/2)),0))))),2))</f>
        <v/>
      </c>
      <c r="AM300" s="23">
        <f>IF($X300="","",$X300-$AL300)</f>
        <v/>
      </c>
      <c r="AN300" s="23">
        <f>IF(OR($AH300="",$Y300=""),"",N($AI300)-$Y300)</f>
        <v/>
      </c>
    </row>
    <row r="301">
      <c r="Q301" s="20" t="n"/>
      <c r="R301" s="20" t="n"/>
      <c r="S301" s="21" t="n"/>
      <c r="U301" s="21" t="n"/>
      <c r="V301" s="22" t="n"/>
      <c r="X301" s="23">
        <f>IF(OR($S301="",$R301=""),"",ROUND(MAX(0,IF($W301="Straight-line",IF(N($V301)&lt;=0,0,($S301-N($U301))*MIN($AJ301,$V301)/$V301),IF($W301="Reducing balance",MIN(($S301-N($U301)),$S301-$S301*(1-N($AG301))^INT($AJ301/12)*(1-N($AG301)*MOD($AJ301,12)/12)),IF($W301="DDB",IF(N($V301)&lt;=0,0,MIN(($S301-N($U301)),$S301-$S301*(1-MIN(1,24/$V301))^INT($AJ301/12)*(1-MIN(1,24/$V301)*MOD($AJ301,12)/12))),IF($W301="SYD",IF(N($V301)&lt;=0,0,($S301-N($U301))*(INT(MIN($AJ301,$V301)/12)*(2*($V301/12)-INT(MIN($AJ301,$V301)/12)+1)/2+MOD(MIN($AJ301,$V301),12)/12*(($V301/12)-INT(MIN($AJ301,$V301)/12)))/(($V301/12)*(($V301/12)+1)/2)),0))))),2))</f>
        <v/>
      </c>
      <c r="Y301" s="23">
        <f>IF($X301="","",$S301-$X301)</f>
        <v/>
      </c>
      <c r="AD301" s="20" t="n"/>
      <c r="AG301" s="24" t="n"/>
      <c r="AH301" s="20" t="n"/>
      <c r="AI301" s="21" t="n"/>
      <c r="AJ301" s="25">
        <f>IF($R301="","",IF($R301&gt;IF($AH301&lt;&gt;"",MIN($AH301,Settings!$B$3),Settings!$B$3),0,(YEAR(IF($AH301&lt;&gt;"",MIN($AH301,Settings!$B$3),Settings!$B$3))-YEAR($R301))*12+MONTH(IF($AH301&lt;&gt;"",MIN($AH301,Settings!$B$3),Settings!$B$3))-MONTH($R301)+1))</f>
        <v/>
      </c>
      <c r="AK301" s="25">
        <f>IF($R301="","",IF($R301&gt;MIN(Settings!$B$4-1,IF($AH301&lt;&gt;"",MIN($AH301,Settings!$B$3),Settings!$B$3)),0,(YEAR(MIN(Settings!$B$4-1,IF($AH301&lt;&gt;"",MIN($AH301,Settings!$B$3),Settings!$B$3)))-YEAR($R301))*12+MONTH(MIN(Settings!$B$4-1,IF($AH301&lt;&gt;"",MIN($AH301,Settings!$B$3),Settings!$B$3)))-MONTH($R301)+1))</f>
        <v/>
      </c>
      <c r="AL301" s="23">
        <f>IF(OR($S301="",$R301=""),"",ROUND(MAX(0,IF($W301="Straight-line",IF(N($V301)&lt;=0,0,($S301-N($U301))*MIN($AK301,$V301)/$V301),IF($W301="Reducing balance",MIN(($S301-N($U301)),$S301-$S301*(1-N($AG301))^INT($AK301/12)*(1-N($AG301)*MOD($AK301,12)/12)),IF($W301="DDB",IF(N($V301)&lt;=0,0,MIN(($S301-N($U301)),$S301-$S301*(1-MIN(1,24/$V301))^INT($AK301/12)*(1-MIN(1,24/$V301)*MOD($AK301,12)/12))),IF($W301="SYD",IF(N($V301)&lt;=0,0,($S301-N($U301))*(INT(MIN($AK301,$V301)/12)*(2*($V301/12)-INT(MIN($AK301,$V301)/12)+1)/2+MOD(MIN($AK301,$V301),12)/12*(($V301/12)-INT(MIN($AK301,$V301)/12)))/(($V301/12)*(($V301/12)+1)/2)),0))))),2))</f>
        <v/>
      </c>
      <c r="AM301" s="23">
        <f>IF($X301="","",$X301-$AL301)</f>
        <v/>
      </c>
      <c r="AN301" s="23">
        <f>IF(OR($AH301="",$Y301=""),"",N($AI301)-$Y301)</f>
        <v/>
      </c>
    </row>
    <row r="302">
      <c r="Q302" s="20" t="n"/>
      <c r="R302" s="20" t="n"/>
      <c r="S302" s="21" t="n"/>
      <c r="U302" s="21" t="n"/>
      <c r="V302" s="22" t="n"/>
      <c r="X302" s="23">
        <f>IF(OR($S302="",$R302=""),"",ROUND(MAX(0,IF($W302="Straight-line",IF(N($V302)&lt;=0,0,($S302-N($U302))*MIN($AJ302,$V302)/$V302),IF($W302="Reducing balance",MIN(($S302-N($U302)),$S302-$S302*(1-N($AG302))^INT($AJ302/12)*(1-N($AG302)*MOD($AJ302,12)/12)),IF($W302="DDB",IF(N($V302)&lt;=0,0,MIN(($S302-N($U302)),$S302-$S302*(1-MIN(1,24/$V302))^INT($AJ302/12)*(1-MIN(1,24/$V302)*MOD($AJ302,12)/12))),IF($W302="SYD",IF(N($V302)&lt;=0,0,($S302-N($U302))*(INT(MIN($AJ302,$V302)/12)*(2*($V302/12)-INT(MIN($AJ302,$V302)/12)+1)/2+MOD(MIN($AJ302,$V302),12)/12*(($V302/12)-INT(MIN($AJ302,$V302)/12)))/(($V302/12)*(($V302/12)+1)/2)),0))))),2))</f>
        <v/>
      </c>
      <c r="Y302" s="23">
        <f>IF($X302="","",$S302-$X302)</f>
        <v/>
      </c>
      <c r="AD302" s="20" t="n"/>
      <c r="AG302" s="24" t="n"/>
      <c r="AH302" s="20" t="n"/>
      <c r="AI302" s="21" t="n"/>
      <c r="AJ302" s="25">
        <f>IF($R302="","",IF($R302&gt;IF($AH302&lt;&gt;"",MIN($AH302,Settings!$B$3),Settings!$B$3),0,(YEAR(IF($AH302&lt;&gt;"",MIN($AH302,Settings!$B$3),Settings!$B$3))-YEAR($R302))*12+MONTH(IF($AH302&lt;&gt;"",MIN($AH302,Settings!$B$3),Settings!$B$3))-MONTH($R302)+1))</f>
        <v/>
      </c>
      <c r="AK302" s="25">
        <f>IF($R302="","",IF($R302&gt;MIN(Settings!$B$4-1,IF($AH302&lt;&gt;"",MIN($AH302,Settings!$B$3),Settings!$B$3)),0,(YEAR(MIN(Settings!$B$4-1,IF($AH302&lt;&gt;"",MIN($AH302,Settings!$B$3),Settings!$B$3)))-YEAR($R302))*12+MONTH(MIN(Settings!$B$4-1,IF($AH302&lt;&gt;"",MIN($AH302,Settings!$B$3),Settings!$B$3)))-MONTH($R302)+1))</f>
        <v/>
      </c>
      <c r="AL302" s="23">
        <f>IF(OR($S302="",$R302=""),"",ROUND(MAX(0,IF($W302="Straight-line",IF(N($V302)&lt;=0,0,($S302-N($U302))*MIN($AK302,$V302)/$V302),IF($W302="Reducing balance",MIN(($S302-N($U302)),$S302-$S302*(1-N($AG302))^INT($AK302/12)*(1-N($AG302)*MOD($AK302,12)/12)),IF($W302="DDB",IF(N($V302)&lt;=0,0,MIN(($S302-N($U302)),$S302-$S302*(1-MIN(1,24/$V302))^INT($AK302/12)*(1-MIN(1,24/$V302)*MOD($AK302,12)/12))),IF($W302="SYD",IF(N($V302)&lt;=0,0,($S302-N($U302))*(INT(MIN($AK302,$V302)/12)*(2*($V302/12)-INT(MIN($AK302,$V302)/12)+1)/2+MOD(MIN($AK302,$V302),12)/12*(($V302/12)-INT(MIN($AK302,$V302)/12)))/(($V302/12)*(($V302/12)+1)/2)),0))))),2))</f>
        <v/>
      </c>
      <c r="AM302" s="23">
        <f>IF($X302="","",$X302-$AL302)</f>
        <v/>
      </c>
      <c r="AN302" s="23">
        <f>IF(OR($AH302="",$Y302=""),"",N($AI302)-$Y302)</f>
        <v/>
      </c>
    </row>
    <row r="303">
      <c r="Q303" s="20" t="n"/>
      <c r="R303" s="20" t="n"/>
      <c r="S303" s="21" t="n"/>
      <c r="U303" s="21" t="n"/>
      <c r="V303" s="22" t="n"/>
      <c r="X303" s="23">
        <f>IF(OR($S303="",$R303=""),"",ROUND(MAX(0,IF($W303="Straight-line",IF(N($V303)&lt;=0,0,($S303-N($U303))*MIN($AJ303,$V303)/$V303),IF($W303="Reducing balance",MIN(($S303-N($U303)),$S303-$S303*(1-N($AG303))^INT($AJ303/12)*(1-N($AG303)*MOD($AJ303,12)/12)),IF($W303="DDB",IF(N($V303)&lt;=0,0,MIN(($S303-N($U303)),$S303-$S303*(1-MIN(1,24/$V303))^INT($AJ303/12)*(1-MIN(1,24/$V303)*MOD($AJ303,12)/12))),IF($W303="SYD",IF(N($V303)&lt;=0,0,($S303-N($U303))*(INT(MIN($AJ303,$V303)/12)*(2*($V303/12)-INT(MIN($AJ303,$V303)/12)+1)/2+MOD(MIN($AJ303,$V303),12)/12*(($V303/12)-INT(MIN($AJ303,$V303)/12)))/(($V303/12)*(($V303/12)+1)/2)),0))))),2))</f>
        <v/>
      </c>
      <c r="Y303" s="23">
        <f>IF($X303="","",$S303-$X303)</f>
        <v/>
      </c>
      <c r="AD303" s="20" t="n"/>
      <c r="AG303" s="24" t="n"/>
      <c r="AH303" s="20" t="n"/>
      <c r="AI303" s="21" t="n"/>
      <c r="AJ303" s="25">
        <f>IF($R303="","",IF($R303&gt;IF($AH303&lt;&gt;"",MIN($AH303,Settings!$B$3),Settings!$B$3),0,(YEAR(IF($AH303&lt;&gt;"",MIN($AH303,Settings!$B$3),Settings!$B$3))-YEAR($R303))*12+MONTH(IF($AH303&lt;&gt;"",MIN($AH303,Settings!$B$3),Settings!$B$3))-MONTH($R303)+1))</f>
        <v/>
      </c>
      <c r="AK303" s="25">
        <f>IF($R303="","",IF($R303&gt;MIN(Settings!$B$4-1,IF($AH303&lt;&gt;"",MIN($AH303,Settings!$B$3),Settings!$B$3)),0,(YEAR(MIN(Settings!$B$4-1,IF($AH303&lt;&gt;"",MIN($AH303,Settings!$B$3),Settings!$B$3)))-YEAR($R303))*12+MONTH(MIN(Settings!$B$4-1,IF($AH303&lt;&gt;"",MIN($AH303,Settings!$B$3),Settings!$B$3)))-MONTH($R303)+1))</f>
        <v/>
      </c>
      <c r="AL303" s="23">
        <f>IF(OR($S303="",$R303=""),"",ROUND(MAX(0,IF($W303="Straight-line",IF(N($V303)&lt;=0,0,($S303-N($U303))*MIN($AK303,$V303)/$V303),IF($W303="Reducing balance",MIN(($S303-N($U303)),$S303-$S303*(1-N($AG303))^INT($AK303/12)*(1-N($AG303)*MOD($AK303,12)/12)),IF($W303="DDB",IF(N($V303)&lt;=0,0,MIN(($S303-N($U303)),$S303-$S303*(1-MIN(1,24/$V303))^INT($AK303/12)*(1-MIN(1,24/$V303)*MOD($AK303,12)/12))),IF($W303="SYD",IF(N($V303)&lt;=0,0,($S303-N($U303))*(INT(MIN($AK303,$V303)/12)*(2*($V303/12)-INT(MIN($AK303,$V303)/12)+1)/2+MOD(MIN($AK303,$V303),12)/12*(($V303/12)-INT(MIN($AK303,$V303)/12)))/(($V303/12)*(($V303/12)+1)/2)),0))))),2))</f>
        <v/>
      </c>
      <c r="AM303" s="23">
        <f>IF($X303="","",$X303-$AL303)</f>
        <v/>
      </c>
      <c r="AN303" s="23">
        <f>IF(OR($AH303="",$Y303=""),"",N($AI303)-$Y303)</f>
        <v/>
      </c>
    </row>
    <row r="304">
      <c r="Q304" s="20" t="n"/>
      <c r="R304" s="20" t="n"/>
      <c r="S304" s="21" t="n"/>
      <c r="U304" s="21" t="n"/>
      <c r="V304" s="22" t="n"/>
      <c r="X304" s="23">
        <f>IF(OR($S304="",$R304=""),"",ROUND(MAX(0,IF($W304="Straight-line",IF(N($V304)&lt;=0,0,($S304-N($U304))*MIN($AJ304,$V304)/$V304),IF($W304="Reducing balance",MIN(($S304-N($U304)),$S304-$S304*(1-N($AG304))^INT($AJ304/12)*(1-N($AG304)*MOD($AJ304,12)/12)),IF($W304="DDB",IF(N($V304)&lt;=0,0,MIN(($S304-N($U304)),$S304-$S304*(1-MIN(1,24/$V304))^INT($AJ304/12)*(1-MIN(1,24/$V304)*MOD($AJ304,12)/12))),IF($W304="SYD",IF(N($V304)&lt;=0,0,($S304-N($U304))*(INT(MIN($AJ304,$V304)/12)*(2*($V304/12)-INT(MIN($AJ304,$V304)/12)+1)/2+MOD(MIN($AJ304,$V304),12)/12*(($V304/12)-INT(MIN($AJ304,$V304)/12)))/(($V304/12)*(($V304/12)+1)/2)),0))))),2))</f>
        <v/>
      </c>
      <c r="Y304" s="23">
        <f>IF($X304="","",$S304-$X304)</f>
        <v/>
      </c>
      <c r="AD304" s="20" t="n"/>
      <c r="AG304" s="24" t="n"/>
      <c r="AH304" s="20" t="n"/>
      <c r="AI304" s="21" t="n"/>
      <c r="AJ304" s="25">
        <f>IF($R304="","",IF($R304&gt;IF($AH304&lt;&gt;"",MIN($AH304,Settings!$B$3),Settings!$B$3),0,(YEAR(IF($AH304&lt;&gt;"",MIN($AH304,Settings!$B$3),Settings!$B$3))-YEAR($R304))*12+MONTH(IF($AH304&lt;&gt;"",MIN($AH304,Settings!$B$3),Settings!$B$3))-MONTH($R304)+1))</f>
        <v/>
      </c>
      <c r="AK304" s="25">
        <f>IF($R304="","",IF($R304&gt;MIN(Settings!$B$4-1,IF($AH304&lt;&gt;"",MIN($AH304,Settings!$B$3),Settings!$B$3)),0,(YEAR(MIN(Settings!$B$4-1,IF($AH304&lt;&gt;"",MIN($AH304,Settings!$B$3),Settings!$B$3)))-YEAR($R304))*12+MONTH(MIN(Settings!$B$4-1,IF($AH304&lt;&gt;"",MIN($AH304,Settings!$B$3),Settings!$B$3)))-MONTH($R304)+1))</f>
        <v/>
      </c>
      <c r="AL304" s="23">
        <f>IF(OR($S304="",$R304=""),"",ROUND(MAX(0,IF($W304="Straight-line",IF(N($V304)&lt;=0,0,($S304-N($U304))*MIN($AK304,$V304)/$V304),IF($W304="Reducing balance",MIN(($S304-N($U304)),$S304-$S304*(1-N($AG304))^INT($AK304/12)*(1-N($AG304)*MOD($AK304,12)/12)),IF($W304="DDB",IF(N($V304)&lt;=0,0,MIN(($S304-N($U304)),$S304-$S304*(1-MIN(1,24/$V304))^INT($AK304/12)*(1-MIN(1,24/$V304)*MOD($AK304,12)/12))),IF($W304="SYD",IF(N($V304)&lt;=0,0,($S304-N($U304))*(INT(MIN($AK304,$V304)/12)*(2*($V304/12)-INT(MIN($AK304,$V304)/12)+1)/2+MOD(MIN($AK304,$V304),12)/12*(($V304/12)-INT(MIN($AK304,$V304)/12)))/(($V304/12)*(($V304/12)+1)/2)),0))))),2))</f>
        <v/>
      </c>
      <c r="AM304" s="23">
        <f>IF($X304="","",$X304-$AL304)</f>
        <v/>
      </c>
      <c r="AN304" s="23">
        <f>IF(OR($AH304="",$Y304=""),"",N($AI304)-$Y304)</f>
        <v/>
      </c>
    </row>
    <row r="305">
      <c r="Q305" s="20" t="n"/>
      <c r="R305" s="20" t="n"/>
      <c r="S305" s="21" t="n"/>
      <c r="U305" s="21" t="n"/>
      <c r="V305" s="22" t="n"/>
      <c r="X305" s="23">
        <f>IF(OR($S305="",$R305=""),"",ROUND(MAX(0,IF($W305="Straight-line",IF(N($V305)&lt;=0,0,($S305-N($U305))*MIN($AJ305,$V305)/$V305),IF($W305="Reducing balance",MIN(($S305-N($U305)),$S305-$S305*(1-N($AG305))^INT($AJ305/12)*(1-N($AG305)*MOD($AJ305,12)/12)),IF($W305="DDB",IF(N($V305)&lt;=0,0,MIN(($S305-N($U305)),$S305-$S305*(1-MIN(1,24/$V305))^INT($AJ305/12)*(1-MIN(1,24/$V305)*MOD($AJ305,12)/12))),IF($W305="SYD",IF(N($V305)&lt;=0,0,($S305-N($U305))*(INT(MIN($AJ305,$V305)/12)*(2*($V305/12)-INT(MIN($AJ305,$V305)/12)+1)/2+MOD(MIN($AJ305,$V305),12)/12*(($V305/12)-INT(MIN($AJ305,$V305)/12)))/(($V305/12)*(($V305/12)+1)/2)),0))))),2))</f>
        <v/>
      </c>
      <c r="Y305" s="23">
        <f>IF($X305="","",$S305-$X305)</f>
        <v/>
      </c>
      <c r="AD305" s="20" t="n"/>
      <c r="AG305" s="24" t="n"/>
      <c r="AH305" s="20" t="n"/>
      <c r="AI305" s="21" t="n"/>
      <c r="AJ305" s="25">
        <f>IF($R305="","",IF($R305&gt;IF($AH305&lt;&gt;"",MIN($AH305,Settings!$B$3),Settings!$B$3),0,(YEAR(IF($AH305&lt;&gt;"",MIN($AH305,Settings!$B$3),Settings!$B$3))-YEAR($R305))*12+MONTH(IF($AH305&lt;&gt;"",MIN($AH305,Settings!$B$3),Settings!$B$3))-MONTH($R305)+1))</f>
        <v/>
      </c>
      <c r="AK305" s="25">
        <f>IF($R305="","",IF($R305&gt;MIN(Settings!$B$4-1,IF($AH305&lt;&gt;"",MIN($AH305,Settings!$B$3),Settings!$B$3)),0,(YEAR(MIN(Settings!$B$4-1,IF($AH305&lt;&gt;"",MIN($AH305,Settings!$B$3),Settings!$B$3)))-YEAR($R305))*12+MONTH(MIN(Settings!$B$4-1,IF($AH305&lt;&gt;"",MIN($AH305,Settings!$B$3),Settings!$B$3)))-MONTH($R305)+1))</f>
        <v/>
      </c>
      <c r="AL305" s="23">
        <f>IF(OR($S305="",$R305=""),"",ROUND(MAX(0,IF($W305="Straight-line",IF(N($V305)&lt;=0,0,($S305-N($U305))*MIN($AK305,$V305)/$V305),IF($W305="Reducing balance",MIN(($S305-N($U305)),$S305-$S305*(1-N($AG305))^INT($AK305/12)*(1-N($AG305)*MOD($AK305,12)/12)),IF($W305="DDB",IF(N($V305)&lt;=0,0,MIN(($S305-N($U305)),$S305-$S305*(1-MIN(1,24/$V305))^INT($AK305/12)*(1-MIN(1,24/$V305)*MOD($AK305,12)/12))),IF($W305="SYD",IF(N($V305)&lt;=0,0,($S305-N($U305))*(INT(MIN($AK305,$V305)/12)*(2*($V305/12)-INT(MIN($AK305,$V305)/12)+1)/2+MOD(MIN($AK305,$V305),12)/12*(($V305/12)-INT(MIN($AK305,$V305)/12)))/(($V305/12)*(($V305/12)+1)/2)),0))))),2))</f>
        <v/>
      </c>
      <c r="AM305" s="23">
        <f>IF($X305="","",$X305-$AL305)</f>
        <v/>
      </c>
      <c r="AN305" s="23">
        <f>IF(OR($AH305="",$Y305=""),"",N($AI305)-$Y305)</f>
        <v/>
      </c>
    </row>
    <row r="306">
      <c r="Q306" s="20" t="n"/>
      <c r="R306" s="20" t="n"/>
      <c r="S306" s="21" t="n"/>
      <c r="U306" s="21" t="n"/>
      <c r="V306" s="22" t="n"/>
      <c r="X306" s="23">
        <f>IF(OR($S306="",$R306=""),"",ROUND(MAX(0,IF($W306="Straight-line",IF(N($V306)&lt;=0,0,($S306-N($U306))*MIN($AJ306,$V306)/$V306),IF($W306="Reducing balance",MIN(($S306-N($U306)),$S306-$S306*(1-N($AG306))^INT($AJ306/12)*(1-N($AG306)*MOD($AJ306,12)/12)),IF($W306="DDB",IF(N($V306)&lt;=0,0,MIN(($S306-N($U306)),$S306-$S306*(1-MIN(1,24/$V306))^INT($AJ306/12)*(1-MIN(1,24/$V306)*MOD($AJ306,12)/12))),IF($W306="SYD",IF(N($V306)&lt;=0,0,($S306-N($U306))*(INT(MIN($AJ306,$V306)/12)*(2*($V306/12)-INT(MIN($AJ306,$V306)/12)+1)/2+MOD(MIN($AJ306,$V306),12)/12*(($V306/12)-INT(MIN($AJ306,$V306)/12)))/(($V306/12)*(($V306/12)+1)/2)),0))))),2))</f>
        <v/>
      </c>
      <c r="Y306" s="23">
        <f>IF($X306="","",$S306-$X306)</f>
        <v/>
      </c>
      <c r="AD306" s="20" t="n"/>
      <c r="AG306" s="24" t="n"/>
      <c r="AH306" s="20" t="n"/>
      <c r="AI306" s="21" t="n"/>
      <c r="AJ306" s="25">
        <f>IF($R306="","",IF($R306&gt;IF($AH306&lt;&gt;"",MIN($AH306,Settings!$B$3),Settings!$B$3),0,(YEAR(IF($AH306&lt;&gt;"",MIN($AH306,Settings!$B$3),Settings!$B$3))-YEAR($R306))*12+MONTH(IF($AH306&lt;&gt;"",MIN($AH306,Settings!$B$3),Settings!$B$3))-MONTH($R306)+1))</f>
        <v/>
      </c>
      <c r="AK306" s="25">
        <f>IF($R306="","",IF($R306&gt;MIN(Settings!$B$4-1,IF($AH306&lt;&gt;"",MIN($AH306,Settings!$B$3),Settings!$B$3)),0,(YEAR(MIN(Settings!$B$4-1,IF($AH306&lt;&gt;"",MIN($AH306,Settings!$B$3),Settings!$B$3)))-YEAR($R306))*12+MONTH(MIN(Settings!$B$4-1,IF($AH306&lt;&gt;"",MIN($AH306,Settings!$B$3),Settings!$B$3)))-MONTH($R306)+1))</f>
        <v/>
      </c>
      <c r="AL306" s="23">
        <f>IF(OR($S306="",$R306=""),"",ROUND(MAX(0,IF($W306="Straight-line",IF(N($V306)&lt;=0,0,($S306-N($U306))*MIN($AK306,$V306)/$V306),IF($W306="Reducing balance",MIN(($S306-N($U306)),$S306-$S306*(1-N($AG306))^INT($AK306/12)*(1-N($AG306)*MOD($AK306,12)/12)),IF($W306="DDB",IF(N($V306)&lt;=0,0,MIN(($S306-N($U306)),$S306-$S306*(1-MIN(1,24/$V306))^INT($AK306/12)*(1-MIN(1,24/$V306)*MOD($AK306,12)/12))),IF($W306="SYD",IF(N($V306)&lt;=0,0,($S306-N($U306))*(INT(MIN($AK306,$V306)/12)*(2*($V306/12)-INT(MIN($AK306,$V306)/12)+1)/2+MOD(MIN($AK306,$V306),12)/12*(($V306/12)-INT(MIN($AK306,$V306)/12)))/(($V306/12)*(($V306/12)+1)/2)),0))))),2))</f>
        <v/>
      </c>
      <c r="AM306" s="23">
        <f>IF($X306="","",$X306-$AL306)</f>
        <v/>
      </c>
      <c r="AN306" s="23">
        <f>IF(OR($AH306="",$Y306=""),"",N($AI306)-$Y306)</f>
        <v/>
      </c>
    </row>
    <row r="307">
      <c r="Q307" s="20" t="n"/>
      <c r="R307" s="20" t="n"/>
      <c r="S307" s="21" t="n"/>
      <c r="U307" s="21" t="n"/>
      <c r="V307" s="22" t="n"/>
      <c r="X307" s="23">
        <f>IF(OR($S307="",$R307=""),"",ROUND(MAX(0,IF($W307="Straight-line",IF(N($V307)&lt;=0,0,($S307-N($U307))*MIN($AJ307,$V307)/$V307),IF($W307="Reducing balance",MIN(($S307-N($U307)),$S307-$S307*(1-N($AG307))^INT($AJ307/12)*(1-N($AG307)*MOD($AJ307,12)/12)),IF($W307="DDB",IF(N($V307)&lt;=0,0,MIN(($S307-N($U307)),$S307-$S307*(1-MIN(1,24/$V307))^INT($AJ307/12)*(1-MIN(1,24/$V307)*MOD($AJ307,12)/12))),IF($W307="SYD",IF(N($V307)&lt;=0,0,($S307-N($U307))*(INT(MIN($AJ307,$V307)/12)*(2*($V307/12)-INT(MIN($AJ307,$V307)/12)+1)/2+MOD(MIN($AJ307,$V307),12)/12*(($V307/12)-INT(MIN($AJ307,$V307)/12)))/(($V307/12)*(($V307/12)+1)/2)),0))))),2))</f>
        <v/>
      </c>
      <c r="Y307" s="23">
        <f>IF($X307="","",$S307-$X307)</f>
        <v/>
      </c>
      <c r="AD307" s="20" t="n"/>
      <c r="AG307" s="24" t="n"/>
      <c r="AH307" s="20" t="n"/>
      <c r="AI307" s="21" t="n"/>
      <c r="AJ307" s="25">
        <f>IF($R307="","",IF($R307&gt;IF($AH307&lt;&gt;"",MIN($AH307,Settings!$B$3),Settings!$B$3),0,(YEAR(IF($AH307&lt;&gt;"",MIN($AH307,Settings!$B$3),Settings!$B$3))-YEAR($R307))*12+MONTH(IF($AH307&lt;&gt;"",MIN($AH307,Settings!$B$3),Settings!$B$3))-MONTH($R307)+1))</f>
        <v/>
      </c>
      <c r="AK307" s="25">
        <f>IF($R307="","",IF($R307&gt;MIN(Settings!$B$4-1,IF($AH307&lt;&gt;"",MIN($AH307,Settings!$B$3),Settings!$B$3)),0,(YEAR(MIN(Settings!$B$4-1,IF($AH307&lt;&gt;"",MIN($AH307,Settings!$B$3),Settings!$B$3)))-YEAR($R307))*12+MONTH(MIN(Settings!$B$4-1,IF($AH307&lt;&gt;"",MIN($AH307,Settings!$B$3),Settings!$B$3)))-MONTH($R307)+1))</f>
        <v/>
      </c>
      <c r="AL307" s="23">
        <f>IF(OR($S307="",$R307=""),"",ROUND(MAX(0,IF($W307="Straight-line",IF(N($V307)&lt;=0,0,($S307-N($U307))*MIN($AK307,$V307)/$V307),IF($W307="Reducing balance",MIN(($S307-N($U307)),$S307-$S307*(1-N($AG307))^INT($AK307/12)*(1-N($AG307)*MOD($AK307,12)/12)),IF($W307="DDB",IF(N($V307)&lt;=0,0,MIN(($S307-N($U307)),$S307-$S307*(1-MIN(1,24/$V307))^INT($AK307/12)*(1-MIN(1,24/$V307)*MOD($AK307,12)/12))),IF($W307="SYD",IF(N($V307)&lt;=0,0,($S307-N($U307))*(INT(MIN($AK307,$V307)/12)*(2*($V307/12)-INT(MIN($AK307,$V307)/12)+1)/2+MOD(MIN($AK307,$V307),12)/12*(($V307/12)-INT(MIN($AK307,$V307)/12)))/(($V307/12)*(($V307/12)+1)/2)),0))))),2))</f>
        <v/>
      </c>
      <c r="AM307" s="23">
        <f>IF($X307="","",$X307-$AL307)</f>
        <v/>
      </c>
      <c r="AN307" s="23">
        <f>IF(OR($AH307="",$Y307=""),"",N($AI307)-$Y307)</f>
        <v/>
      </c>
    </row>
    <row r="308">
      <c r="Q308" s="20" t="n"/>
      <c r="R308" s="20" t="n"/>
      <c r="S308" s="21" t="n"/>
      <c r="U308" s="21" t="n"/>
      <c r="V308" s="22" t="n"/>
      <c r="X308" s="23">
        <f>IF(OR($S308="",$R308=""),"",ROUND(MAX(0,IF($W308="Straight-line",IF(N($V308)&lt;=0,0,($S308-N($U308))*MIN($AJ308,$V308)/$V308),IF($W308="Reducing balance",MIN(($S308-N($U308)),$S308-$S308*(1-N($AG308))^INT($AJ308/12)*(1-N($AG308)*MOD($AJ308,12)/12)),IF($W308="DDB",IF(N($V308)&lt;=0,0,MIN(($S308-N($U308)),$S308-$S308*(1-MIN(1,24/$V308))^INT($AJ308/12)*(1-MIN(1,24/$V308)*MOD($AJ308,12)/12))),IF($W308="SYD",IF(N($V308)&lt;=0,0,($S308-N($U308))*(INT(MIN($AJ308,$V308)/12)*(2*($V308/12)-INT(MIN($AJ308,$V308)/12)+1)/2+MOD(MIN($AJ308,$V308),12)/12*(($V308/12)-INT(MIN($AJ308,$V308)/12)))/(($V308/12)*(($V308/12)+1)/2)),0))))),2))</f>
        <v/>
      </c>
      <c r="Y308" s="23">
        <f>IF($X308="","",$S308-$X308)</f>
        <v/>
      </c>
      <c r="AD308" s="20" t="n"/>
      <c r="AG308" s="24" t="n"/>
      <c r="AH308" s="20" t="n"/>
      <c r="AI308" s="21" t="n"/>
      <c r="AJ308" s="25">
        <f>IF($R308="","",IF($R308&gt;IF($AH308&lt;&gt;"",MIN($AH308,Settings!$B$3),Settings!$B$3),0,(YEAR(IF($AH308&lt;&gt;"",MIN($AH308,Settings!$B$3),Settings!$B$3))-YEAR($R308))*12+MONTH(IF($AH308&lt;&gt;"",MIN($AH308,Settings!$B$3),Settings!$B$3))-MONTH($R308)+1))</f>
        <v/>
      </c>
      <c r="AK308" s="25">
        <f>IF($R308="","",IF($R308&gt;MIN(Settings!$B$4-1,IF($AH308&lt;&gt;"",MIN($AH308,Settings!$B$3),Settings!$B$3)),0,(YEAR(MIN(Settings!$B$4-1,IF($AH308&lt;&gt;"",MIN($AH308,Settings!$B$3),Settings!$B$3)))-YEAR($R308))*12+MONTH(MIN(Settings!$B$4-1,IF($AH308&lt;&gt;"",MIN($AH308,Settings!$B$3),Settings!$B$3)))-MONTH($R308)+1))</f>
        <v/>
      </c>
      <c r="AL308" s="23">
        <f>IF(OR($S308="",$R308=""),"",ROUND(MAX(0,IF($W308="Straight-line",IF(N($V308)&lt;=0,0,($S308-N($U308))*MIN($AK308,$V308)/$V308),IF($W308="Reducing balance",MIN(($S308-N($U308)),$S308-$S308*(1-N($AG308))^INT($AK308/12)*(1-N($AG308)*MOD($AK308,12)/12)),IF($W308="DDB",IF(N($V308)&lt;=0,0,MIN(($S308-N($U308)),$S308-$S308*(1-MIN(1,24/$V308))^INT($AK308/12)*(1-MIN(1,24/$V308)*MOD($AK308,12)/12))),IF($W308="SYD",IF(N($V308)&lt;=0,0,($S308-N($U308))*(INT(MIN($AK308,$V308)/12)*(2*($V308/12)-INT(MIN($AK308,$V308)/12)+1)/2+MOD(MIN($AK308,$V308),12)/12*(($V308/12)-INT(MIN($AK308,$V308)/12)))/(($V308/12)*(($V308/12)+1)/2)),0))))),2))</f>
        <v/>
      </c>
      <c r="AM308" s="23">
        <f>IF($X308="","",$X308-$AL308)</f>
        <v/>
      </c>
      <c r="AN308" s="23">
        <f>IF(OR($AH308="",$Y308=""),"",N($AI308)-$Y308)</f>
        <v/>
      </c>
    </row>
    <row r="309">
      <c r="Q309" s="20" t="n"/>
      <c r="R309" s="20" t="n"/>
      <c r="S309" s="21" t="n"/>
      <c r="U309" s="21" t="n"/>
      <c r="V309" s="22" t="n"/>
      <c r="X309" s="23">
        <f>IF(OR($S309="",$R309=""),"",ROUND(MAX(0,IF($W309="Straight-line",IF(N($V309)&lt;=0,0,($S309-N($U309))*MIN($AJ309,$V309)/$V309),IF($W309="Reducing balance",MIN(($S309-N($U309)),$S309-$S309*(1-N($AG309))^INT($AJ309/12)*(1-N($AG309)*MOD($AJ309,12)/12)),IF($W309="DDB",IF(N($V309)&lt;=0,0,MIN(($S309-N($U309)),$S309-$S309*(1-MIN(1,24/$V309))^INT($AJ309/12)*(1-MIN(1,24/$V309)*MOD($AJ309,12)/12))),IF($W309="SYD",IF(N($V309)&lt;=0,0,($S309-N($U309))*(INT(MIN($AJ309,$V309)/12)*(2*($V309/12)-INT(MIN($AJ309,$V309)/12)+1)/2+MOD(MIN($AJ309,$V309),12)/12*(($V309/12)-INT(MIN($AJ309,$V309)/12)))/(($V309/12)*(($V309/12)+1)/2)),0))))),2))</f>
        <v/>
      </c>
      <c r="Y309" s="23">
        <f>IF($X309="","",$S309-$X309)</f>
        <v/>
      </c>
      <c r="AD309" s="20" t="n"/>
      <c r="AG309" s="24" t="n"/>
      <c r="AH309" s="20" t="n"/>
      <c r="AI309" s="21" t="n"/>
      <c r="AJ309" s="25">
        <f>IF($R309="","",IF($R309&gt;IF($AH309&lt;&gt;"",MIN($AH309,Settings!$B$3),Settings!$B$3),0,(YEAR(IF($AH309&lt;&gt;"",MIN($AH309,Settings!$B$3),Settings!$B$3))-YEAR($R309))*12+MONTH(IF($AH309&lt;&gt;"",MIN($AH309,Settings!$B$3),Settings!$B$3))-MONTH($R309)+1))</f>
        <v/>
      </c>
      <c r="AK309" s="25">
        <f>IF($R309="","",IF($R309&gt;MIN(Settings!$B$4-1,IF($AH309&lt;&gt;"",MIN($AH309,Settings!$B$3),Settings!$B$3)),0,(YEAR(MIN(Settings!$B$4-1,IF($AH309&lt;&gt;"",MIN($AH309,Settings!$B$3),Settings!$B$3)))-YEAR($R309))*12+MONTH(MIN(Settings!$B$4-1,IF($AH309&lt;&gt;"",MIN($AH309,Settings!$B$3),Settings!$B$3)))-MONTH($R309)+1))</f>
        <v/>
      </c>
      <c r="AL309" s="23">
        <f>IF(OR($S309="",$R309=""),"",ROUND(MAX(0,IF($W309="Straight-line",IF(N($V309)&lt;=0,0,($S309-N($U309))*MIN($AK309,$V309)/$V309),IF($W309="Reducing balance",MIN(($S309-N($U309)),$S309-$S309*(1-N($AG309))^INT($AK309/12)*(1-N($AG309)*MOD($AK309,12)/12)),IF($W309="DDB",IF(N($V309)&lt;=0,0,MIN(($S309-N($U309)),$S309-$S309*(1-MIN(1,24/$V309))^INT($AK309/12)*(1-MIN(1,24/$V309)*MOD($AK309,12)/12))),IF($W309="SYD",IF(N($V309)&lt;=0,0,($S309-N($U309))*(INT(MIN($AK309,$V309)/12)*(2*($V309/12)-INT(MIN($AK309,$V309)/12)+1)/2+MOD(MIN($AK309,$V309),12)/12*(($V309/12)-INT(MIN($AK309,$V309)/12)))/(($V309/12)*(($V309/12)+1)/2)),0))))),2))</f>
        <v/>
      </c>
      <c r="AM309" s="23">
        <f>IF($X309="","",$X309-$AL309)</f>
        <v/>
      </c>
      <c r="AN309" s="23">
        <f>IF(OR($AH309="",$Y309=""),"",N($AI309)-$Y309)</f>
        <v/>
      </c>
    </row>
    <row r="310">
      <c r="Q310" s="20" t="n"/>
      <c r="R310" s="20" t="n"/>
      <c r="S310" s="21" t="n"/>
      <c r="U310" s="21" t="n"/>
      <c r="V310" s="22" t="n"/>
      <c r="X310" s="23">
        <f>IF(OR($S310="",$R310=""),"",ROUND(MAX(0,IF($W310="Straight-line",IF(N($V310)&lt;=0,0,($S310-N($U310))*MIN($AJ310,$V310)/$V310),IF($W310="Reducing balance",MIN(($S310-N($U310)),$S310-$S310*(1-N($AG310))^INT($AJ310/12)*(1-N($AG310)*MOD($AJ310,12)/12)),IF($W310="DDB",IF(N($V310)&lt;=0,0,MIN(($S310-N($U310)),$S310-$S310*(1-MIN(1,24/$V310))^INT($AJ310/12)*(1-MIN(1,24/$V310)*MOD($AJ310,12)/12))),IF($W310="SYD",IF(N($V310)&lt;=0,0,($S310-N($U310))*(INT(MIN($AJ310,$V310)/12)*(2*($V310/12)-INT(MIN($AJ310,$V310)/12)+1)/2+MOD(MIN($AJ310,$V310),12)/12*(($V310/12)-INT(MIN($AJ310,$V310)/12)))/(($V310/12)*(($V310/12)+1)/2)),0))))),2))</f>
        <v/>
      </c>
      <c r="Y310" s="23">
        <f>IF($X310="","",$S310-$X310)</f>
        <v/>
      </c>
      <c r="AD310" s="20" t="n"/>
      <c r="AG310" s="24" t="n"/>
      <c r="AH310" s="20" t="n"/>
      <c r="AI310" s="21" t="n"/>
      <c r="AJ310" s="25">
        <f>IF($R310="","",IF($R310&gt;IF($AH310&lt;&gt;"",MIN($AH310,Settings!$B$3),Settings!$B$3),0,(YEAR(IF($AH310&lt;&gt;"",MIN($AH310,Settings!$B$3),Settings!$B$3))-YEAR($R310))*12+MONTH(IF($AH310&lt;&gt;"",MIN($AH310,Settings!$B$3),Settings!$B$3))-MONTH($R310)+1))</f>
        <v/>
      </c>
      <c r="AK310" s="25">
        <f>IF($R310="","",IF($R310&gt;MIN(Settings!$B$4-1,IF($AH310&lt;&gt;"",MIN($AH310,Settings!$B$3),Settings!$B$3)),0,(YEAR(MIN(Settings!$B$4-1,IF($AH310&lt;&gt;"",MIN($AH310,Settings!$B$3),Settings!$B$3)))-YEAR($R310))*12+MONTH(MIN(Settings!$B$4-1,IF($AH310&lt;&gt;"",MIN($AH310,Settings!$B$3),Settings!$B$3)))-MONTH($R310)+1))</f>
        <v/>
      </c>
      <c r="AL310" s="23">
        <f>IF(OR($S310="",$R310=""),"",ROUND(MAX(0,IF($W310="Straight-line",IF(N($V310)&lt;=0,0,($S310-N($U310))*MIN($AK310,$V310)/$V310),IF($W310="Reducing balance",MIN(($S310-N($U310)),$S310-$S310*(1-N($AG310))^INT($AK310/12)*(1-N($AG310)*MOD($AK310,12)/12)),IF($W310="DDB",IF(N($V310)&lt;=0,0,MIN(($S310-N($U310)),$S310-$S310*(1-MIN(1,24/$V310))^INT($AK310/12)*(1-MIN(1,24/$V310)*MOD($AK310,12)/12))),IF($W310="SYD",IF(N($V310)&lt;=0,0,($S310-N($U310))*(INT(MIN($AK310,$V310)/12)*(2*($V310/12)-INT(MIN($AK310,$V310)/12)+1)/2+MOD(MIN($AK310,$V310),12)/12*(($V310/12)-INT(MIN($AK310,$V310)/12)))/(($V310/12)*(($V310/12)+1)/2)),0))))),2))</f>
        <v/>
      </c>
      <c r="AM310" s="23">
        <f>IF($X310="","",$X310-$AL310)</f>
        <v/>
      </c>
      <c r="AN310" s="23">
        <f>IF(OR($AH310="",$Y310=""),"",N($AI310)-$Y310)</f>
        <v/>
      </c>
    </row>
    <row r="311">
      <c r="Q311" s="20" t="n"/>
      <c r="R311" s="20" t="n"/>
      <c r="S311" s="21" t="n"/>
      <c r="U311" s="21" t="n"/>
      <c r="V311" s="22" t="n"/>
      <c r="X311" s="23">
        <f>IF(OR($S311="",$R311=""),"",ROUND(MAX(0,IF($W311="Straight-line",IF(N($V311)&lt;=0,0,($S311-N($U311))*MIN($AJ311,$V311)/$V311),IF($W311="Reducing balance",MIN(($S311-N($U311)),$S311-$S311*(1-N($AG311))^INT($AJ311/12)*(1-N($AG311)*MOD($AJ311,12)/12)),IF($W311="DDB",IF(N($V311)&lt;=0,0,MIN(($S311-N($U311)),$S311-$S311*(1-MIN(1,24/$V311))^INT($AJ311/12)*(1-MIN(1,24/$V311)*MOD($AJ311,12)/12))),IF($W311="SYD",IF(N($V311)&lt;=0,0,($S311-N($U311))*(INT(MIN($AJ311,$V311)/12)*(2*($V311/12)-INT(MIN($AJ311,$V311)/12)+1)/2+MOD(MIN($AJ311,$V311),12)/12*(($V311/12)-INT(MIN($AJ311,$V311)/12)))/(($V311/12)*(($V311/12)+1)/2)),0))))),2))</f>
        <v/>
      </c>
      <c r="Y311" s="23">
        <f>IF($X311="","",$S311-$X311)</f>
        <v/>
      </c>
      <c r="AD311" s="20" t="n"/>
      <c r="AG311" s="24" t="n"/>
      <c r="AH311" s="20" t="n"/>
      <c r="AI311" s="21" t="n"/>
      <c r="AJ311" s="25">
        <f>IF($R311="","",IF($R311&gt;IF($AH311&lt;&gt;"",MIN($AH311,Settings!$B$3),Settings!$B$3),0,(YEAR(IF($AH311&lt;&gt;"",MIN($AH311,Settings!$B$3),Settings!$B$3))-YEAR($R311))*12+MONTH(IF($AH311&lt;&gt;"",MIN($AH311,Settings!$B$3),Settings!$B$3))-MONTH($R311)+1))</f>
        <v/>
      </c>
      <c r="AK311" s="25">
        <f>IF($R311="","",IF($R311&gt;MIN(Settings!$B$4-1,IF($AH311&lt;&gt;"",MIN($AH311,Settings!$B$3),Settings!$B$3)),0,(YEAR(MIN(Settings!$B$4-1,IF($AH311&lt;&gt;"",MIN($AH311,Settings!$B$3),Settings!$B$3)))-YEAR($R311))*12+MONTH(MIN(Settings!$B$4-1,IF($AH311&lt;&gt;"",MIN($AH311,Settings!$B$3),Settings!$B$3)))-MONTH($R311)+1))</f>
        <v/>
      </c>
      <c r="AL311" s="23">
        <f>IF(OR($S311="",$R311=""),"",ROUND(MAX(0,IF($W311="Straight-line",IF(N($V311)&lt;=0,0,($S311-N($U311))*MIN($AK311,$V311)/$V311),IF($W311="Reducing balance",MIN(($S311-N($U311)),$S311-$S311*(1-N($AG311))^INT($AK311/12)*(1-N($AG311)*MOD($AK311,12)/12)),IF($W311="DDB",IF(N($V311)&lt;=0,0,MIN(($S311-N($U311)),$S311-$S311*(1-MIN(1,24/$V311))^INT($AK311/12)*(1-MIN(1,24/$V311)*MOD($AK311,12)/12))),IF($W311="SYD",IF(N($V311)&lt;=0,0,($S311-N($U311))*(INT(MIN($AK311,$V311)/12)*(2*($V311/12)-INT(MIN($AK311,$V311)/12)+1)/2+MOD(MIN($AK311,$V311),12)/12*(($V311/12)-INT(MIN($AK311,$V311)/12)))/(($V311/12)*(($V311/12)+1)/2)),0))))),2))</f>
        <v/>
      </c>
      <c r="AM311" s="23">
        <f>IF($X311="","",$X311-$AL311)</f>
        <v/>
      </c>
      <c r="AN311" s="23">
        <f>IF(OR($AH311="",$Y311=""),"",N($AI311)-$Y311)</f>
        <v/>
      </c>
    </row>
    <row r="312">
      <c r="Q312" s="20" t="n"/>
      <c r="R312" s="20" t="n"/>
      <c r="S312" s="21" t="n"/>
      <c r="U312" s="21" t="n"/>
      <c r="V312" s="22" t="n"/>
      <c r="X312" s="23">
        <f>IF(OR($S312="",$R312=""),"",ROUND(MAX(0,IF($W312="Straight-line",IF(N($V312)&lt;=0,0,($S312-N($U312))*MIN($AJ312,$V312)/$V312),IF($W312="Reducing balance",MIN(($S312-N($U312)),$S312-$S312*(1-N($AG312))^INT($AJ312/12)*(1-N($AG312)*MOD($AJ312,12)/12)),IF($W312="DDB",IF(N($V312)&lt;=0,0,MIN(($S312-N($U312)),$S312-$S312*(1-MIN(1,24/$V312))^INT($AJ312/12)*(1-MIN(1,24/$V312)*MOD($AJ312,12)/12))),IF($W312="SYD",IF(N($V312)&lt;=0,0,($S312-N($U312))*(INT(MIN($AJ312,$V312)/12)*(2*($V312/12)-INT(MIN($AJ312,$V312)/12)+1)/2+MOD(MIN($AJ312,$V312),12)/12*(($V312/12)-INT(MIN($AJ312,$V312)/12)))/(($V312/12)*(($V312/12)+1)/2)),0))))),2))</f>
        <v/>
      </c>
      <c r="Y312" s="23">
        <f>IF($X312="","",$S312-$X312)</f>
        <v/>
      </c>
      <c r="AD312" s="20" t="n"/>
      <c r="AG312" s="24" t="n"/>
      <c r="AH312" s="20" t="n"/>
      <c r="AI312" s="21" t="n"/>
      <c r="AJ312" s="25">
        <f>IF($R312="","",IF($R312&gt;IF($AH312&lt;&gt;"",MIN($AH312,Settings!$B$3),Settings!$B$3),0,(YEAR(IF($AH312&lt;&gt;"",MIN($AH312,Settings!$B$3),Settings!$B$3))-YEAR($R312))*12+MONTH(IF($AH312&lt;&gt;"",MIN($AH312,Settings!$B$3),Settings!$B$3))-MONTH($R312)+1))</f>
        <v/>
      </c>
      <c r="AK312" s="25">
        <f>IF($R312="","",IF($R312&gt;MIN(Settings!$B$4-1,IF($AH312&lt;&gt;"",MIN($AH312,Settings!$B$3),Settings!$B$3)),0,(YEAR(MIN(Settings!$B$4-1,IF($AH312&lt;&gt;"",MIN($AH312,Settings!$B$3),Settings!$B$3)))-YEAR($R312))*12+MONTH(MIN(Settings!$B$4-1,IF($AH312&lt;&gt;"",MIN($AH312,Settings!$B$3),Settings!$B$3)))-MONTH($R312)+1))</f>
        <v/>
      </c>
      <c r="AL312" s="23">
        <f>IF(OR($S312="",$R312=""),"",ROUND(MAX(0,IF($W312="Straight-line",IF(N($V312)&lt;=0,0,($S312-N($U312))*MIN($AK312,$V312)/$V312),IF($W312="Reducing balance",MIN(($S312-N($U312)),$S312-$S312*(1-N($AG312))^INT($AK312/12)*(1-N($AG312)*MOD($AK312,12)/12)),IF($W312="DDB",IF(N($V312)&lt;=0,0,MIN(($S312-N($U312)),$S312-$S312*(1-MIN(1,24/$V312))^INT($AK312/12)*(1-MIN(1,24/$V312)*MOD($AK312,12)/12))),IF($W312="SYD",IF(N($V312)&lt;=0,0,($S312-N($U312))*(INT(MIN($AK312,$V312)/12)*(2*($V312/12)-INT(MIN($AK312,$V312)/12)+1)/2+MOD(MIN($AK312,$V312),12)/12*(($V312/12)-INT(MIN($AK312,$V312)/12)))/(($V312/12)*(($V312/12)+1)/2)),0))))),2))</f>
        <v/>
      </c>
      <c r="AM312" s="23">
        <f>IF($X312="","",$X312-$AL312)</f>
        <v/>
      </c>
      <c r="AN312" s="23">
        <f>IF(OR($AH312="",$Y312=""),"",N($AI312)-$Y312)</f>
        <v/>
      </c>
    </row>
    <row r="313">
      <c r="Q313" s="20" t="n"/>
      <c r="R313" s="20" t="n"/>
      <c r="S313" s="21" t="n"/>
      <c r="U313" s="21" t="n"/>
      <c r="V313" s="22" t="n"/>
      <c r="X313" s="23">
        <f>IF(OR($S313="",$R313=""),"",ROUND(MAX(0,IF($W313="Straight-line",IF(N($V313)&lt;=0,0,($S313-N($U313))*MIN($AJ313,$V313)/$V313),IF($W313="Reducing balance",MIN(($S313-N($U313)),$S313-$S313*(1-N($AG313))^INT($AJ313/12)*(1-N($AG313)*MOD($AJ313,12)/12)),IF($W313="DDB",IF(N($V313)&lt;=0,0,MIN(($S313-N($U313)),$S313-$S313*(1-MIN(1,24/$V313))^INT($AJ313/12)*(1-MIN(1,24/$V313)*MOD($AJ313,12)/12))),IF($W313="SYD",IF(N($V313)&lt;=0,0,($S313-N($U313))*(INT(MIN($AJ313,$V313)/12)*(2*($V313/12)-INT(MIN($AJ313,$V313)/12)+1)/2+MOD(MIN($AJ313,$V313),12)/12*(($V313/12)-INT(MIN($AJ313,$V313)/12)))/(($V313/12)*(($V313/12)+1)/2)),0))))),2))</f>
        <v/>
      </c>
      <c r="Y313" s="23">
        <f>IF($X313="","",$S313-$X313)</f>
        <v/>
      </c>
      <c r="AD313" s="20" t="n"/>
      <c r="AG313" s="24" t="n"/>
      <c r="AH313" s="20" t="n"/>
      <c r="AI313" s="21" t="n"/>
      <c r="AJ313" s="25">
        <f>IF($R313="","",IF($R313&gt;IF($AH313&lt;&gt;"",MIN($AH313,Settings!$B$3),Settings!$B$3),0,(YEAR(IF($AH313&lt;&gt;"",MIN($AH313,Settings!$B$3),Settings!$B$3))-YEAR($R313))*12+MONTH(IF($AH313&lt;&gt;"",MIN($AH313,Settings!$B$3),Settings!$B$3))-MONTH($R313)+1))</f>
        <v/>
      </c>
      <c r="AK313" s="25">
        <f>IF($R313="","",IF($R313&gt;MIN(Settings!$B$4-1,IF($AH313&lt;&gt;"",MIN($AH313,Settings!$B$3),Settings!$B$3)),0,(YEAR(MIN(Settings!$B$4-1,IF($AH313&lt;&gt;"",MIN($AH313,Settings!$B$3),Settings!$B$3)))-YEAR($R313))*12+MONTH(MIN(Settings!$B$4-1,IF($AH313&lt;&gt;"",MIN($AH313,Settings!$B$3),Settings!$B$3)))-MONTH($R313)+1))</f>
        <v/>
      </c>
      <c r="AL313" s="23">
        <f>IF(OR($S313="",$R313=""),"",ROUND(MAX(0,IF($W313="Straight-line",IF(N($V313)&lt;=0,0,($S313-N($U313))*MIN($AK313,$V313)/$V313),IF($W313="Reducing balance",MIN(($S313-N($U313)),$S313-$S313*(1-N($AG313))^INT($AK313/12)*(1-N($AG313)*MOD($AK313,12)/12)),IF($W313="DDB",IF(N($V313)&lt;=0,0,MIN(($S313-N($U313)),$S313-$S313*(1-MIN(1,24/$V313))^INT($AK313/12)*(1-MIN(1,24/$V313)*MOD($AK313,12)/12))),IF($W313="SYD",IF(N($V313)&lt;=0,0,($S313-N($U313))*(INT(MIN($AK313,$V313)/12)*(2*($V313/12)-INT(MIN($AK313,$V313)/12)+1)/2+MOD(MIN($AK313,$V313),12)/12*(($V313/12)-INT(MIN($AK313,$V313)/12)))/(($V313/12)*(($V313/12)+1)/2)),0))))),2))</f>
        <v/>
      </c>
      <c r="AM313" s="23">
        <f>IF($X313="","",$X313-$AL313)</f>
        <v/>
      </c>
      <c r="AN313" s="23">
        <f>IF(OR($AH313="",$Y313=""),"",N($AI313)-$Y313)</f>
        <v/>
      </c>
    </row>
    <row r="314">
      <c r="Q314" s="20" t="n"/>
      <c r="R314" s="20" t="n"/>
      <c r="S314" s="21" t="n"/>
      <c r="U314" s="21" t="n"/>
      <c r="V314" s="22" t="n"/>
      <c r="X314" s="23">
        <f>IF(OR($S314="",$R314=""),"",ROUND(MAX(0,IF($W314="Straight-line",IF(N($V314)&lt;=0,0,($S314-N($U314))*MIN($AJ314,$V314)/$V314),IF($W314="Reducing balance",MIN(($S314-N($U314)),$S314-$S314*(1-N($AG314))^INT($AJ314/12)*(1-N($AG314)*MOD($AJ314,12)/12)),IF($W314="DDB",IF(N($V314)&lt;=0,0,MIN(($S314-N($U314)),$S314-$S314*(1-MIN(1,24/$V314))^INT($AJ314/12)*(1-MIN(1,24/$V314)*MOD($AJ314,12)/12))),IF($W314="SYD",IF(N($V314)&lt;=0,0,($S314-N($U314))*(INT(MIN($AJ314,$V314)/12)*(2*($V314/12)-INT(MIN($AJ314,$V314)/12)+1)/2+MOD(MIN($AJ314,$V314),12)/12*(($V314/12)-INT(MIN($AJ314,$V314)/12)))/(($V314/12)*(($V314/12)+1)/2)),0))))),2))</f>
        <v/>
      </c>
      <c r="Y314" s="23">
        <f>IF($X314="","",$S314-$X314)</f>
        <v/>
      </c>
      <c r="AD314" s="20" t="n"/>
      <c r="AG314" s="24" t="n"/>
      <c r="AH314" s="20" t="n"/>
      <c r="AI314" s="21" t="n"/>
      <c r="AJ314" s="25">
        <f>IF($R314="","",IF($R314&gt;IF($AH314&lt;&gt;"",MIN($AH314,Settings!$B$3),Settings!$B$3),0,(YEAR(IF($AH314&lt;&gt;"",MIN($AH314,Settings!$B$3),Settings!$B$3))-YEAR($R314))*12+MONTH(IF($AH314&lt;&gt;"",MIN($AH314,Settings!$B$3),Settings!$B$3))-MONTH($R314)+1))</f>
        <v/>
      </c>
      <c r="AK314" s="25">
        <f>IF($R314="","",IF($R314&gt;MIN(Settings!$B$4-1,IF($AH314&lt;&gt;"",MIN($AH314,Settings!$B$3),Settings!$B$3)),0,(YEAR(MIN(Settings!$B$4-1,IF($AH314&lt;&gt;"",MIN($AH314,Settings!$B$3),Settings!$B$3)))-YEAR($R314))*12+MONTH(MIN(Settings!$B$4-1,IF($AH314&lt;&gt;"",MIN($AH314,Settings!$B$3),Settings!$B$3)))-MONTH($R314)+1))</f>
        <v/>
      </c>
      <c r="AL314" s="23">
        <f>IF(OR($S314="",$R314=""),"",ROUND(MAX(0,IF($W314="Straight-line",IF(N($V314)&lt;=0,0,($S314-N($U314))*MIN($AK314,$V314)/$V314),IF($W314="Reducing balance",MIN(($S314-N($U314)),$S314-$S314*(1-N($AG314))^INT($AK314/12)*(1-N($AG314)*MOD($AK314,12)/12)),IF($W314="DDB",IF(N($V314)&lt;=0,0,MIN(($S314-N($U314)),$S314-$S314*(1-MIN(1,24/$V314))^INT($AK314/12)*(1-MIN(1,24/$V314)*MOD($AK314,12)/12))),IF($W314="SYD",IF(N($V314)&lt;=0,0,($S314-N($U314))*(INT(MIN($AK314,$V314)/12)*(2*($V314/12)-INT(MIN($AK314,$V314)/12)+1)/2+MOD(MIN($AK314,$V314),12)/12*(($V314/12)-INT(MIN($AK314,$V314)/12)))/(($V314/12)*(($V314/12)+1)/2)),0))))),2))</f>
        <v/>
      </c>
      <c r="AM314" s="23">
        <f>IF($X314="","",$X314-$AL314)</f>
        <v/>
      </c>
      <c r="AN314" s="23">
        <f>IF(OR($AH314="",$Y314=""),"",N($AI314)-$Y314)</f>
        <v/>
      </c>
    </row>
    <row r="315">
      <c r="Q315" s="20" t="n"/>
      <c r="R315" s="20" t="n"/>
      <c r="S315" s="21" t="n"/>
      <c r="U315" s="21" t="n"/>
      <c r="V315" s="22" t="n"/>
      <c r="X315" s="23">
        <f>IF(OR($S315="",$R315=""),"",ROUND(MAX(0,IF($W315="Straight-line",IF(N($V315)&lt;=0,0,($S315-N($U315))*MIN($AJ315,$V315)/$V315),IF($W315="Reducing balance",MIN(($S315-N($U315)),$S315-$S315*(1-N($AG315))^INT($AJ315/12)*(1-N($AG315)*MOD($AJ315,12)/12)),IF($W315="DDB",IF(N($V315)&lt;=0,0,MIN(($S315-N($U315)),$S315-$S315*(1-MIN(1,24/$V315))^INT($AJ315/12)*(1-MIN(1,24/$V315)*MOD($AJ315,12)/12))),IF($W315="SYD",IF(N($V315)&lt;=0,0,($S315-N($U315))*(INT(MIN($AJ315,$V315)/12)*(2*($V315/12)-INT(MIN($AJ315,$V315)/12)+1)/2+MOD(MIN($AJ315,$V315),12)/12*(($V315/12)-INT(MIN($AJ315,$V315)/12)))/(($V315/12)*(($V315/12)+1)/2)),0))))),2))</f>
        <v/>
      </c>
      <c r="Y315" s="23">
        <f>IF($X315="","",$S315-$X315)</f>
        <v/>
      </c>
      <c r="AD315" s="20" t="n"/>
      <c r="AG315" s="24" t="n"/>
      <c r="AH315" s="20" t="n"/>
      <c r="AI315" s="21" t="n"/>
      <c r="AJ315" s="25">
        <f>IF($R315="","",IF($R315&gt;IF($AH315&lt;&gt;"",MIN($AH315,Settings!$B$3),Settings!$B$3),0,(YEAR(IF($AH315&lt;&gt;"",MIN($AH315,Settings!$B$3),Settings!$B$3))-YEAR($R315))*12+MONTH(IF($AH315&lt;&gt;"",MIN($AH315,Settings!$B$3),Settings!$B$3))-MONTH($R315)+1))</f>
        <v/>
      </c>
      <c r="AK315" s="25">
        <f>IF($R315="","",IF($R315&gt;MIN(Settings!$B$4-1,IF($AH315&lt;&gt;"",MIN($AH315,Settings!$B$3),Settings!$B$3)),0,(YEAR(MIN(Settings!$B$4-1,IF($AH315&lt;&gt;"",MIN($AH315,Settings!$B$3),Settings!$B$3)))-YEAR($R315))*12+MONTH(MIN(Settings!$B$4-1,IF($AH315&lt;&gt;"",MIN($AH315,Settings!$B$3),Settings!$B$3)))-MONTH($R315)+1))</f>
        <v/>
      </c>
      <c r="AL315" s="23">
        <f>IF(OR($S315="",$R315=""),"",ROUND(MAX(0,IF($W315="Straight-line",IF(N($V315)&lt;=0,0,($S315-N($U315))*MIN($AK315,$V315)/$V315),IF($W315="Reducing balance",MIN(($S315-N($U315)),$S315-$S315*(1-N($AG315))^INT($AK315/12)*(1-N($AG315)*MOD($AK315,12)/12)),IF($W315="DDB",IF(N($V315)&lt;=0,0,MIN(($S315-N($U315)),$S315-$S315*(1-MIN(1,24/$V315))^INT($AK315/12)*(1-MIN(1,24/$V315)*MOD($AK315,12)/12))),IF($W315="SYD",IF(N($V315)&lt;=0,0,($S315-N($U315))*(INT(MIN($AK315,$V315)/12)*(2*($V315/12)-INT(MIN($AK315,$V315)/12)+1)/2+MOD(MIN($AK315,$V315),12)/12*(($V315/12)-INT(MIN($AK315,$V315)/12)))/(($V315/12)*(($V315/12)+1)/2)),0))))),2))</f>
        <v/>
      </c>
      <c r="AM315" s="23">
        <f>IF($X315="","",$X315-$AL315)</f>
        <v/>
      </c>
      <c r="AN315" s="23">
        <f>IF(OR($AH315="",$Y315=""),"",N($AI315)-$Y315)</f>
        <v/>
      </c>
    </row>
    <row r="316">
      <c r="Q316" s="20" t="n"/>
      <c r="R316" s="20" t="n"/>
      <c r="S316" s="21" t="n"/>
      <c r="U316" s="21" t="n"/>
      <c r="V316" s="22" t="n"/>
      <c r="X316" s="23">
        <f>IF(OR($S316="",$R316=""),"",ROUND(MAX(0,IF($W316="Straight-line",IF(N($V316)&lt;=0,0,($S316-N($U316))*MIN($AJ316,$V316)/$V316),IF($W316="Reducing balance",MIN(($S316-N($U316)),$S316-$S316*(1-N($AG316))^INT($AJ316/12)*(1-N($AG316)*MOD($AJ316,12)/12)),IF($W316="DDB",IF(N($V316)&lt;=0,0,MIN(($S316-N($U316)),$S316-$S316*(1-MIN(1,24/$V316))^INT($AJ316/12)*(1-MIN(1,24/$V316)*MOD($AJ316,12)/12))),IF($W316="SYD",IF(N($V316)&lt;=0,0,($S316-N($U316))*(INT(MIN($AJ316,$V316)/12)*(2*($V316/12)-INT(MIN($AJ316,$V316)/12)+1)/2+MOD(MIN($AJ316,$V316),12)/12*(($V316/12)-INT(MIN($AJ316,$V316)/12)))/(($V316/12)*(($V316/12)+1)/2)),0))))),2))</f>
        <v/>
      </c>
      <c r="Y316" s="23">
        <f>IF($X316="","",$S316-$X316)</f>
        <v/>
      </c>
      <c r="AD316" s="20" t="n"/>
      <c r="AG316" s="24" t="n"/>
      <c r="AH316" s="20" t="n"/>
      <c r="AI316" s="21" t="n"/>
      <c r="AJ316" s="25">
        <f>IF($R316="","",IF($R316&gt;IF($AH316&lt;&gt;"",MIN($AH316,Settings!$B$3),Settings!$B$3),0,(YEAR(IF($AH316&lt;&gt;"",MIN($AH316,Settings!$B$3),Settings!$B$3))-YEAR($R316))*12+MONTH(IF($AH316&lt;&gt;"",MIN($AH316,Settings!$B$3),Settings!$B$3))-MONTH($R316)+1))</f>
        <v/>
      </c>
      <c r="AK316" s="25">
        <f>IF($R316="","",IF($R316&gt;MIN(Settings!$B$4-1,IF($AH316&lt;&gt;"",MIN($AH316,Settings!$B$3),Settings!$B$3)),0,(YEAR(MIN(Settings!$B$4-1,IF($AH316&lt;&gt;"",MIN($AH316,Settings!$B$3),Settings!$B$3)))-YEAR($R316))*12+MONTH(MIN(Settings!$B$4-1,IF($AH316&lt;&gt;"",MIN($AH316,Settings!$B$3),Settings!$B$3)))-MONTH($R316)+1))</f>
        <v/>
      </c>
      <c r="AL316" s="23">
        <f>IF(OR($S316="",$R316=""),"",ROUND(MAX(0,IF($W316="Straight-line",IF(N($V316)&lt;=0,0,($S316-N($U316))*MIN($AK316,$V316)/$V316),IF($W316="Reducing balance",MIN(($S316-N($U316)),$S316-$S316*(1-N($AG316))^INT($AK316/12)*(1-N($AG316)*MOD($AK316,12)/12)),IF($W316="DDB",IF(N($V316)&lt;=0,0,MIN(($S316-N($U316)),$S316-$S316*(1-MIN(1,24/$V316))^INT($AK316/12)*(1-MIN(1,24/$V316)*MOD($AK316,12)/12))),IF($W316="SYD",IF(N($V316)&lt;=0,0,($S316-N($U316))*(INT(MIN($AK316,$V316)/12)*(2*($V316/12)-INT(MIN($AK316,$V316)/12)+1)/2+MOD(MIN($AK316,$V316),12)/12*(($V316/12)-INT(MIN($AK316,$V316)/12)))/(($V316/12)*(($V316/12)+1)/2)),0))))),2))</f>
        <v/>
      </c>
      <c r="AM316" s="23">
        <f>IF($X316="","",$X316-$AL316)</f>
        <v/>
      </c>
      <c r="AN316" s="23">
        <f>IF(OR($AH316="",$Y316=""),"",N($AI316)-$Y316)</f>
        <v/>
      </c>
    </row>
    <row r="317">
      <c r="Q317" s="20" t="n"/>
      <c r="R317" s="20" t="n"/>
      <c r="S317" s="21" t="n"/>
      <c r="U317" s="21" t="n"/>
      <c r="V317" s="22" t="n"/>
      <c r="X317" s="23">
        <f>IF(OR($S317="",$R317=""),"",ROUND(MAX(0,IF($W317="Straight-line",IF(N($V317)&lt;=0,0,($S317-N($U317))*MIN($AJ317,$V317)/$V317),IF($W317="Reducing balance",MIN(($S317-N($U317)),$S317-$S317*(1-N($AG317))^INT($AJ317/12)*(1-N($AG317)*MOD($AJ317,12)/12)),IF($W317="DDB",IF(N($V317)&lt;=0,0,MIN(($S317-N($U317)),$S317-$S317*(1-MIN(1,24/$V317))^INT($AJ317/12)*(1-MIN(1,24/$V317)*MOD($AJ317,12)/12))),IF($W317="SYD",IF(N($V317)&lt;=0,0,($S317-N($U317))*(INT(MIN($AJ317,$V317)/12)*(2*($V317/12)-INT(MIN($AJ317,$V317)/12)+1)/2+MOD(MIN($AJ317,$V317),12)/12*(($V317/12)-INT(MIN($AJ317,$V317)/12)))/(($V317/12)*(($V317/12)+1)/2)),0))))),2))</f>
        <v/>
      </c>
      <c r="Y317" s="23">
        <f>IF($X317="","",$S317-$X317)</f>
        <v/>
      </c>
      <c r="AD317" s="20" t="n"/>
      <c r="AG317" s="24" t="n"/>
      <c r="AH317" s="20" t="n"/>
      <c r="AI317" s="21" t="n"/>
      <c r="AJ317" s="25">
        <f>IF($R317="","",IF($R317&gt;IF($AH317&lt;&gt;"",MIN($AH317,Settings!$B$3),Settings!$B$3),0,(YEAR(IF($AH317&lt;&gt;"",MIN($AH317,Settings!$B$3),Settings!$B$3))-YEAR($R317))*12+MONTH(IF($AH317&lt;&gt;"",MIN($AH317,Settings!$B$3),Settings!$B$3))-MONTH($R317)+1))</f>
        <v/>
      </c>
      <c r="AK317" s="25">
        <f>IF($R317="","",IF($R317&gt;MIN(Settings!$B$4-1,IF($AH317&lt;&gt;"",MIN($AH317,Settings!$B$3),Settings!$B$3)),0,(YEAR(MIN(Settings!$B$4-1,IF($AH317&lt;&gt;"",MIN($AH317,Settings!$B$3),Settings!$B$3)))-YEAR($R317))*12+MONTH(MIN(Settings!$B$4-1,IF($AH317&lt;&gt;"",MIN($AH317,Settings!$B$3),Settings!$B$3)))-MONTH($R317)+1))</f>
        <v/>
      </c>
      <c r="AL317" s="23">
        <f>IF(OR($S317="",$R317=""),"",ROUND(MAX(0,IF($W317="Straight-line",IF(N($V317)&lt;=0,0,($S317-N($U317))*MIN($AK317,$V317)/$V317),IF($W317="Reducing balance",MIN(($S317-N($U317)),$S317-$S317*(1-N($AG317))^INT($AK317/12)*(1-N($AG317)*MOD($AK317,12)/12)),IF($W317="DDB",IF(N($V317)&lt;=0,0,MIN(($S317-N($U317)),$S317-$S317*(1-MIN(1,24/$V317))^INT($AK317/12)*(1-MIN(1,24/$V317)*MOD($AK317,12)/12))),IF($W317="SYD",IF(N($V317)&lt;=0,0,($S317-N($U317))*(INT(MIN($AK317,$V317)/12)*(2*($V317/12)-INT(MIN($AK317,$V317)/12)+1)/2+MOD(MIN($AK317,$V317),12)/12*(($V317/12)-INT(MIN($AK317,$V317)/12)))/(($V317/12)*(($V317/12)+1)/2)),0))))),2))</f>
        <v/>
      </c>
      <c r="AM317" s="23">
        <f>IF($X317="","",$X317-$AL317)</f>
        <v/>
      </c>
      <c r="AN317" s="23">
        <f>IF(OR($AH317="",$Y317=""),"",N($AI317)-$Y317)</f>
        <v/>
      </c>
    </row>
    <row r="318">
      <c r="Q318" s="20" t="n"/>
      <c r="R318" s="20" t="n"/>
      <c r="S318" s="21" t="n"/>
      <c r="U318" s="21" t="n"/>
      <c r="V318" s="22" t="n"/>
      <c r="X318" s="23">
        <f>IF(OR($S318="",$R318=""),"",ROUND(MAX(0,IF($W318="Straight-line",IF(N($V318)&lt;=0,0,($S318-N($U318))*MIN($AJ318,$V318)/$V318),IF($W318="Reducing balance",MIN(($S318-N($U318)),$S318-$S318*(1-N($AG318))^INT($AJ318/12)*(1-N($AG318)*MOD($AJ318,12)/12)),IF($W318="DDB",IF(N($V318)&lt;=0,0,MIN(($S318-N($U318)),$S318-$S318*(1-MIN(1,24/$V318))^INT($AJ318/12)*(1-MIN(1,24/$V318)*MOD($AJ318,12)/12))),IF($W318="SYD",IF(N($V318)&lt;=0,0,($S318-N($U318))*(INT(MIN($AJ318,$V318)/12)*(2*($V318/12)-INT(MIN($AJ318,$V318)/12)+1)/2+MOD(MIN($AJ318,$V318),12)/12*(($V318/12)-INT(MIN($AJ318,$V318)/12)))/(($V318/12)*(($V318/12)+1)/2)),0))))),2))</f>
        <v/>
      </c>
      <c r="Y318" s="23">
        <f>IF($X318="","",$S318-$X318)</f>
        <v/>
      </c>
      <c r="AD318" s="20" t="n"/>
      <c r="AG318" s="24" t="n"/>
      <c r="AH318" s="20" t="n"/>
      <c r="AI318" s="21" t="n"/>
      <c r="AJ318" s="25">
        <f>IF($R318="","",IF($R318&gt;IF($AH318&lt;&gt;"",MIN($AH318,Settings!$B$3),Settings!$B$3),0,(YEAR(IF($AH318&lt;&gt;"",MIN($AH318,Settings!$B$3),Settings!$B$3))-YEAR($R318))*12+MONTH(IF($AH318&lt;&gt;"",MIN($AH318,Settings!$B$3),Settings!$B$3))-MONTH($R318)+1))</f>
        <v/>
      </c>
      <c r="AK318" s="25">
        <f>IF($R318="","",IF($R318&gt;MIN(Settings!$B$4-1,IF($AH318&lt;&gt;"",MIN($AH318,Settings!$B$3),Settings!$B$3)),0,(YEAR(MIN(Settings!$B$4-1,IF($AH318&lt;&gt;"",MIN($AH318,Settings!$B$3),Settings!$B$3)))-YEAR($R318))*12+MONTH(MIN(Settings!$B$4-1,IF($AH318&lt;&gt;"",MIN($AH318,Settings!$B$3),Settings!$B$3)))-MONTH($R318)+1))</f>
        <v/>
      </c>
      <c r="AL318" s="23">
        <f>IF(OR($S318="",$R318=""),"",ROUND(MAX(0,IF($W318="Straight-line",IF(N($V318)&lt;=0,0,($S318-N($U318))*MIN($AK318,$V318)/$V318),IF($W318="Reducing balance",MIN(($S318-N($U318)),$S318-$S318*(1-N($AG318))^INT($AK318/12)*(1-N($AG318)*MOD($AK318,12)/12)),IF($W318="DDB",IF(N($V318)&lt;=0,0,MIN(($S318-N($U318)),$S318-$S318*(1-MIN(1,24/$V318))^INT($AK318/12)*(1-MIN(1,24/$V318)*MOD($AK318,12)/12))),IF($W318="SYD",IF(N($V318)&lt;=0,0,($S318-N($U318))*(INT(MIN($AK318,$V318)/12)*(2*($V318/12)-INT(MIN($AK318,$V318)/12)+1)/2+MOD(MIN($AK318,$V318),12)/12*(($V318/12)-INT(MIN($AK318,$V318)/12)))/(($V318/12)*(($V318/12)+1)/2)),0))))),2))</f>
        <v/>
      </c>
      <c r="AM318" s="23">
        <f>IF($X318="","",$X318-$AL318)</f>
        <v/>
      </c>
      <c r="AN318" s="23">
        <f>IF(OR($AH318="",$Y318=""),"",N($AI318)-$Y318)</f>
        <v/>
      </c>
    </row>
    <row r="319">
      <c r="Q319" s="20" t="n"/>
      <c r="R319" s="20" t="n"/>
      <c r="S319" s="21" t="n"/>
      <c r="U319" s="21" t="n"/>
      <c r="V319" s="22" t="n"/>
      <c r="X319" s="23">
        <f>IF(OR($S319="",$R319=""),"",ROUND(MAX(0,IF($W319="Straight-line",IF(N($V319)&lt;=0,0,($S319-N($U319))*MIN($AJ319,$V319)/$V319),IF($W319="Reducing balance",MIN(($S319-N($U319)),$S319-$S319*(1-N($AG319))^INT($AJ319/12)*(1-N($AG319)*MOD($AJ319,12)/12)),IF($W319="DDB",IF(N($V319)&lt;=0,0,MIN(($S319-N($U319)),$S319-$S319*(1-MIN(1,24/$V319))^INT($AJ319/12)*(1-MIN(1,24/$V319)*MOD($AJ319,12)/12))),IF($W319="SYD",IF(N($V319)&lt;=0,0,($S319-N($U319))*(INT(MIN($AJ319,$V319)/12)*(2*($V319/12)-INT(MIN($AJ319,$V319)/12)+1)/2+MOD(MIN($AJ319,$V319),12)/12*(($V319/12)-INT(MIN($AJ319,$V319)/12)))/(($V319/12)*(($V319/12)+1)/2)),0))))),2))</f>
        <v/>
      </c>
      <c r="Y319" s="23">
        <f>IF($X319="","",$S319-$X319)</f>
        <v/>
      </c>
      <c r="AD319" s="20" t="n"/>
      <c r="AG319" s="24" t="n"/>
      <c r="AH319" s="20" t="n"/>
      <c r="AI319" s="21" t="n"/>
      <c r="AJ319" s="25">
        <f>IF($R319="","",IF($R319&gt;IF($AH319&lt;&gt;"",MIN($AH319,Settings!$B$3),Settings!$B$3),0,(YEAR(IF($AH319&lt;&gt;"",MIN($AH319,Settings!$B$3),Settings!$B$3))-YEAR($R319))*12+MONTH(IF($AH319&lt;&gt;"",MIN($AH319,Settings!$B$3),Settings!$B$3))-MONTH($R319)+1))</f>
        <v/>
      </c>
      <c r="AK319" s="25">
        <f>IF($R319="","",IF($R319&gt;MIN(Settings!$B$4-1,IF($AH319&lt;&gt;"",MIN($AH319,Settings!$B$3),Settings!$B$3)),0,(YEAR(MIN(Settings!$B$4-1,IF($AH319&lt;&gt;"",MIN($AH319,Settings!$B$3),Settings!$B$3)))-YEAR($R319))*12+MONTH(MIN(Settings!$B$4-1,IF($AH319&lt;&gt;"",MIN($AH319,Settings!$B$3),Settings!$B$3)))-MONTH($R319)+1))</f>
        <v/>
      </c>
      <c r="AL319" s="23">
        <f>IF(OR($S319="",$R319=""),"",ROUND(MAX(0,IF($W319="Straight-line",IF(N($V319)&lt;=0,0,($S319-N($U319))*MIN($AK319,$V319)/$V319),IF($W319="Reducing balance",MIN(($S319-N($U319)),$S319-$S319*(1-N($AG319))^INT($AK319/12)*(1-N($AG319)*MOD($AK319,12)/12)),IF($W319="DDB",IF(N($V319)&lt;=0,0,MIN(($S319-N($U319)),$S319-$S319*(1-MIN(1,24/$V319))^INT($AK319/12)*(1-MIN(1,24/$V319)*MOD($AK319,12)/12))),IF($W319="SYD",IF(N($V319)&lt;=0,0,($S319-N($U319))*(INT(MIN($AK319,$V319)/12)*(2*($V319/12)-INT(MIN($AK319,$V319)/12)+1)/2+MOD(MIN($AK319,$V319),12)/12*(($V319/12)-INT(MIN($AK319,$V319)/12)))/(($V319/12)*(($V319/12)+1)/2)),0))))),2))</f>
        <v/>
      </c>
      <c r="AM319" s="23">
        <f>IF($X319="","",$X319-$AL319)</f>
        <v/>
      </c>
      <c r="AN319" s="23">
        <f>IF(OR($AH319="",$Y319=""),"",N($AI319)-$Y319)</f>
        <v/>
      </c>
    </row>
    <row r="320">
      <c r="Q320" s="20" t="n"/>
      <c r="R320" s="20" t="n"/>
      <c r="S320" s="21" t="n"/>
      <c r="U320" s="21" t="n"/>
      <c r="V320" s="22" t="n"/>
      <c r="X320" s="23">
        <f>IF(OR($S320="",$R320=""),"",ROUND(MAX(0,IF($W320="Straight-line",IF(N($V320)&lt;=0,0,($S320-N($U320))*MIN($AJ320,$V320)/$V320),IF($W320="Reducing balance",MIN(($S320-N($U320)),$S320-$S320*(1-N($AG320))^INT($AJ320/12)*(1-N($AG320)*MOD($AJ320,12)/12)),IF($W320="DDB",IF(N($V320)&lt;=0,0,MIN(($S320-N($U320)),$S320-$S320*(1-MIN(1,24/$V320))^INT($AJ320/12)*(1-MIN(1,24/$V320)*MOD($AJ320,12)/12))),IF($W320="SYD",IF(N($V320)&lt;=0,0,($S320-N($U320))*(INT(MIN($AJ320,$V320)/12)*(2*($V320/12)-INT(MIN($AJ320,$V320)/12)+1)/2+MOD(MIN($AJ320,$V320),12)/12*(($V320/12)-INT(MIN($AJ320,$V320)/12)))/(($V320/12)*(($V320/12)+1)/2)),0))))),2))</f>
        <v/>
      </c>
      <c r="Y320" s="23">
        <f>IF($X320="","",$S320-$X320)</f>
        <v/>
      </c>
      <c r="AD320" s="20" t="n"/>
      <c r="AG320" s="24" t="n"/>
      <c r="AH320" s="20" t="n"/>
      <c r="AI320" s="21" t="n"/>
      <c r="AJ320" s="25">
        <f>IF($R320="","",IF($R320&gt;IF($AH320&lt;&gt;"",MIN($AH320,Settings!$B$3),Settings!$B$3),0,(YEAR(IF($AH320&lt;&gt;"",MIN($AH320,Settings!$B$3),Settings!$B$3))-YEAR($R320))*12+MONTH(IF($AH320&lt;&gt;"",MIN($AH320,Settings!$B$3),Settings!$B$3))-MONTH($R320)+1))</f>
        <v/>
      </c>
      <c r="AK320" s="25">
        <f>IF($R320="","",IF($R320&gt;MIN(Settings!$B$4-1,IF($AH320&lt;&gt;"",MIN($AH320,Settings!$B$3),Settings!$B$3)),0,(YEAR(MIN(Settings!$B$4-1,IF($AH320&lt;&gt;"",MIN($AH320,Settings!$B$3),Settings!$B$3)))-YEAR($R320))*12+MONTH(MIN(Settings!$B$4-1,IF($AH320&lt;&gt;"",MIN($AH320,Settings!$B$3),Settings!$B$3)))-MONTH($R320)+1))</f>
        <v/>
      </c>
      <c r="AL320" s="23">
        <f>IF(OR($S320="",$R320=""),"",ROUND(MAX(0,IF($W320="Straight-line",IF(N($V320)&lt;=0,0,($S320-N($U320))*MIN($AK320,$V320)/$V320),IF($W320="Reducing balance",MIN(($S320-N($U320)),$S320-$S320*(1-N($AG320))^INT($AK320/12)*(1-N($AG320)*MOD($AK320,12)/12)),IF($W320="DDB",IF(N($V320)&lt;=0,0,MIN(($S320-N($U320)),$S320-$S320*(1-MIN(1,24/$V320))^INT($AK320/12)*(1-MIN(1,24/$V320)*MOD($AK320,12)/12))),IF($W320="SYD",IF(N($V320)&lt;=0,0,($S320-N($U320))*(INT(MIN($AK320,$V320)/12)*(2*($V320/12)-INT(MIN($AK320,$V320)/12)+1)/2+MOD(MIN($AK320,$V320),12)/12*(($V320/12)-INT(MIN($AK320,$V320)/12)))/(($V320/12)*(($V320/12)+1)/2)),0))))),2))</f>
        <v/>
      </c>
      <c r="AM320" s="23">
        <f>IF($X320="","",$X320-$AL320)</f>
        <v/>
      </c>
      <c r="AN320" s="23">
        <f>IF(OR($AH320="",$Y320=""),"",N($AI320)-$Y320)</f>
        <v/>
      </c>
    </row>
    <row r="321">
      <c r="Q321" s="20" t="n"/>
      <c r="R321" s="20" t="n"/>
      <c r="S321" s="21" t="n"/>
      <c r="U321" s="21" t="n"/>
      <c r="V321" s="22" t="n"/>
      <c r="X321" s="23">
        <f>IF(OR($S321="",$R321=""),"",ROUND(MAX(0,IF($W321="Straight-line",IF(N($V321)&lt;=0,0,($S321-N($U321))*MIN($AJ321,$V321)/$V321),IF($W321="Reducing balance",MIN(($S321-N($U321)),$S321-$S321*(1-N($AG321))^INT($AJ321/12)*(1-N($AG321)*MOD($AJ321,12)/12)),IF($W321="DDB",IF(N($V321)&lt;=0,0,MIN(($S321-N($U321)),$S321-$S321*(1-MIN(1,24/$V321))^INT($AJ321/12)*(1-MIN(1,24/$V321)*MOD($AJ321,12)/12))),IF($W321="SYD",IF(N($V321)&lt;=0,0,($S321-N($U321))*(INT(MIN($AJ321,$V321)/12)*(2*($V321/12)-INT(MIN($AJ321,$V321)/12)+1)/2+MOD(MIN($AJ321,$V321),12)/12*(($V321/12)-INT(MIN($AJ321,$V321)/12)))/(($V321/12)*(($V321/12)+1)/2)),0))))),2))</f>
        <v/>
      </c>
      <c r="Y321" s="23">
        <f>IF($X321="","",$S321-$X321)</f>
        <v/>
      </c>
      <c r="AD321" s="20" t="n"/>
      <c r="AG321" s="24" t="n"/>
      <c r="AH321" s="20" t="n"/>
      <c r="AI321" s="21" t="n"/>
      <c r="AJ321" s="25">
        <f>IF($R321="","",IF($R321&gt;IF($AH321&lt;&gt;"",MIN($AH321,Settings!$B$3),Settings!$B$3),0,(YEAR(IF($AH321&lt;&gt;"",MIN($AH321,Settings!$B$3),Settings!$B$3))-YEAR($R321))*12+MONTH(IF($AH321&lt;&gt;"",MIN($AH321,Settings!$B$3),Settings!$B$3))-MONTH($R321)+1))</f>
        <v/>
      </c>
      <c r="AK321" s="25">
        <f>IF($R321="","",IF($R321&gt;MIN(Settings!$B$4-1,IF($AH321&lt;&gt;"",MIN($AH321,Settings!$B$3),Settings!$B$3)),0,(YEAR(MIN(Settings!$B$4-1,IF($AH321&lt;&gt;"",MIN($AH321,Settings!$B$3),Settings!$B$3)))-YEAR($R321))*12+MONTH(MIN(Settings!$B$4-1,IF($AH321&lt;&gt;"",MIN($AH321,Settings!$B$3),Settings!$B$3)))-MONTH($R321)+1))</f>
        <v/>
      </c>
      <c r="AL321" s="23">
        <f>IF(OR($S321="",$R321=""),"",ROUND(MAX(0,IF($W321="Straight-line",IF(N($V321)&lt;=0,0,($S321-N($U321))*MIN($AK321,$V321)/$V321),IF($W321="Reducing balance",MIN(($S321-N($U321)),$S321-$S321*(1-N($AG321))^INT($AK321/12)*(1-N($AG321)*MOD($AK321,12)/12)),IF($W321="DDB",IF(N($V321)&lt;=0,0,MIN(($S321-N($U321)),$S321-$S321*(1-MIN(1,24/$V321))^INT($AK321/12)*(1-MIN(1,24/$V321)*MOD($AK321,12)/12))),IF($W321="SYD",IF(N($V321)&lt;=0,0,($S321-N($U321))*(INT(MIN($AK321,$V321)/12)*(2*($V321/12)-INT(MIN($AK321,$V321)/12)+1)/2+MOD(MIN($AK321,$V321),12)/12*(($V321/12)-INT(MIN($AK321,$V321)/12)))/(($V321/12)*(($V321/12)+1)/2)),0))))),2))</f>
        <v/>
      </c>
      <c r="AM321" s="23">
        <f>IF($X321="","",$X321-$AL321)</f>
        <v/>
      </c>
      <c r="AN321" s="23">
        <f>IF(OR($AH321="",$Y321=""),"",N($AI321)-$Y321)</f>
        <v/>
      </c>
    </row>
    <row r="322">
      <c r="Q322" s="20" t="n"/>
      <c r="R322" s="20" t="n"/>
      <c r="S322" s="21" t="n"/>
      <c r="U322" s="21" t="n"/>
      <c r="V322" s="22" t="n"/>
      <c r="X322" s="23">
        <f>IF(OR($S322="",$R322=""),"",ROUND(MAX(0,IF($W322="Straight-line",IF(N($V322)&lt;=0,0,($S322-N($U322))*MIN($AJ322,$V322)/$V322),IF($W322="Reducing balance",MIN(($S322-N($U322)),$S322-$S322*(1-N($AG322))^INT($AJ322/12)*(1-N($AG322)*MOD($AJ322,12)/12)),IF($W322="DDB",IF(N($V322)&lt;=0,0,MIN(($S322-N($U322)),$S322-$S322*(1-MIN(1,24/$V322))^INT($AJ322/12)*(1-MIN(1,24/$V322)*MOD($AJ322,12)/12))),IF($W322="SYD",IF(N($V322)&lt;=0,0,($S322-N($U322))*(INT(MIN($AJ322,$V322)/12)*(2*($V322/12)-INT(MIN($AJ322,$V322)/12)+1)/2+MOD(MIN($AJ322,$V322),12)/12*(($V322/12)-INT(MIN($AJ322,$V322)/12)))/(($V322/12)*(($V322/12)+1)/2)),0))))),2))</f>
        <v/>
      </c>
      <c r="Y322" s="23">
        <f>IF($X322="","",$S322-$X322)</f>
        <v/>
      </c>
      <c r="AD322" s="20" t="n"/>
      <c r="AG322" s="24" t="n"/>
      <c r="AH322" s="20" t="n"/>
      <c r="AI322" s="21" t="n"/>
      <c r="AJ322" s="25">
        <f>IF($R322="","",IF($R322&gt;IF($AH322&lt;&gt;"",MIN($AH322,Settings!$B$3),Settings!$B$3),0,(YEAR(IF($AH322&lt;&gt;"",MIN($AH322,Settings!$B$3),Settings!$B$3))-YEAR($R322))*12+MONTH(IF($AH322&lt;&gt;"",MIN($AH322,Settings!$B$3),Settings!$B$3))-MONTH($R322)+1))</f>
        <v/>
      </c>
      <c r="AK322" s="25">
        <f>IF($R322="","",IF($R322&gt;MIN(Settings!$B$4-1,IF($AH322&lt;&gt;"",MIN($AH322,Settings!$B$3),Settings!$B$3)),0,(YEAR(MIN(Settings!$B$4-1,IF($AH322&lt;&gt;"",MIN($AH322,Settings!$B$3),Settings!$B$3)))-YEAR($R322))*12+MONTH(MIN(Settings!$B$4-1,IF($AH322&lt;&gt;"",MIN($AH322,Settings!$B$3),Settings!$B$3)))-MONTH($R322)+1))</f>
        <v/>
      </c>
      <c r="AL322" s="23">
        <f>IF(OR($S322="",$R322=""),"",ROUND(MAX(0,IF($W322="Straight-line",IF(N($V322)&lt;=0,0,($S322-N($U322))*MIN($AK322,$V322)/$V322),IF($W322="Reducing balance",MIN(($S322-N($U322)),$S322-$S322*(1-N($AG322))^INT($AK322/12)*(1-N($AG322)*MOD($AK322,12)/12)),IF($W322="DDB",IF(N($V322)&lt;=0,0,MIN(($S322-N($U322)),$S322-$S322*(1-MIN(1,24/$V322))^INT($AK322/12)*(1-MIN(1,24/$V322)*MOD($AK322,12)/12))),IF($W322="SYD",IF(N($V322)&lt;=0,0,($S322-N($U322))*(INT(MIN($AK322,$V322)/12)*(2*($V322/12)-INT(MIN($AK322,$V322)/12)+1)/2+MOD(MIN($AK322,$V322),12)/12*(($V322/12)-INT(MIN($AK322,$V322)/12)))/(($V322/12)*(($V322/12)+1)/2)),0))))),2))</f>
        <v/>
      </c>
      <c r="AM322" s="23">
        <f>IF($X322="","",$X322-$AL322)</f>
        <v/>
      </c>
      <c r="AN322" s="23">
        <f>IF(OR($AH322="",$Y322=""),"",N($AI322)-$Y322)</f>
        <v/>
      </c>
    </row>
    <row r="323">
      <c r="Q323" s="20" t="n"/>
      <c r="R323" s="20" t="n"/>
      <c r="S323" s="21" t="n"/>
      <c r="U323" s="21" t="n"/>
      <c r="V323" s="22" t="n"/>
      <c r="X323" s="23">
        <f>IF(OR($S323="",$R323=""),"",ROUND(MAX(0,IF($W323="Straight-line",IF(N($V323)&lt;=0,0,($S323-N($U323))*MIN($AJ323,$V323)/$V323),IF($W323="Reducing balance",MIN(($S323-N($U323)),$S323-$S323*(1-N($AG323))^INT($AJ323/12)*(1-N($AG323)*MOD($AJ323,12)/12)),IF($W323="DDB",IF(N($V323)&lt;=0,0,MIN(($S323-N($U323)),$S323-$S323*(1-MIN(1,24/$V323))^INT($AJ323/12)*(1-MIN(1,24/$V323)*MOD($AJ323,12)/12))),IF($W323="SYD",IF(N($V323)&lt;=0,0,($S323-N($U323))*(INT(MIN($AJ323,$V323)/12)*(2*($V323/12)-INT(MIN($AJ323,$V323)/12)+1)/2+MOD(MIN($AJ323,$V323),12)/12*(($V323/12)-INT(MIN($AJ323,$V323)/12)))/(($V323/12)*(($V323/12)+1)/2)),0))))),2))</f>
        <v/>
      </c>
      <c r="Y323" s="23">
        <f>IF($X323="","",$S323-$X323)</f>
        <v/>
      </c>
      <c r="AD323" s="20" t="n"/>
      <c r="AG323" s="24" t="n"/>
      <c r="AH323" s="20" t="n"/>
      <c r="AI323" s="21" t="n"/>
      <c r="AJ323" s="25">
        <f>IF($R323="","",IF($R323&gt;IF($AH323&lt;&gt;"",MIN($AH323,Settings!$B$3),Settings!$B$3),0,(YEAR(IF($AH323&lt;&gt;"",MIN($AH323,Settings!$B$3),Settings!$B$3))-YEAR($R323))*12+MONTH(IF($AH323&lt;&gt;"",MIN($AH323,Settings!$B$3),Settings!$B$3))-MONTH($R323)+1))</f>
        <v/>
      </c>
      <c r="AK323" s="25">
        <f>IF($R323="","",IF($R323&gt;MIN(Settings!$B$4-1,IF($AH323&lt;&gt;"",MIN($AH323,Settings!$B$3),Settings!$B$3)),0,(YEAR(MIN(Settings!$B$4-1,IF($AH323&lt;&gt;"",MIN($AH323,Settings!$B$3),Settings!$B$3)))-YEAR($R323))*12+MONTH(MIN(Settings!$B$4-1,IF($AH323&lt;&gt;"",MIN($AH323,Settings!$B$3),Settings!$B$3)))-MONTH($R323)+1))</f>
        <v/>
      </c>
      <c r="AL323" s="23">
        <f>IF(OR($S323="",$R323=""),"",ROUND(MAX(0,IF($W323="Straight-line",IF(N($V323)&lt;=0,0,($S323-N($U323))*MIN($AK323,$V323)/$V323),IF($W323="Reducing balance",MIN(($S323-N($U323)),$S323-$S323*(1-N($AG323))^INT($AK323/12)*(1-N($AG323)*MOD($AK323,12)/12)),IF($W323="DDB",IF(N($V323)&lt;=0,0,MIN(($S323-N($U323)),$S323-$S323*(1-MIN(1,24/$V323))^INT($AK323/12)*(1-MIN(1,24/$V323)*MOD($AK323,12)/12))),IF($W323="SYD",IF(N($V323)&lt;=0,0,($S323-N($U323))*(INT(MIN($AK323,$V323)/12)*(2*($V323/12)-INT(MIN($AK323,$V323)/12)+1)/2+MOD(MIN($AK323,$V323),12)/12*(($V323/12)-INT(MIN($AK323,$V323)/12)))/(($V323/12)*(($V323/12)+1)/2)),0))))),2))</f>
        <v/>
      </c>
      <c r="AM323" s="23">
        <f>IF($X323="","",$X323-$AL323)</f>
        <v/>
      </c>
      <c r="AN323" s="23">
        <f>IF(OR($AH323="",$Y323=""),"",N($AI323)-$Y323)</f>
        <v/>
      </c>
    </row>
    <row r="324">
      <c r="Q324" s="20" t="n"/>
      <c r="R324" s="20" t="n"/>
      <c r="S324" s="21" t="n"/>
      <c r="U324" s="21" t="n"/>
      <c r="V324" s="22" t="n"/>
      <c r="X324" s="23">
        <f>IF(OR($S324="",$R324=""),"",ROUND(MAX(0,IF($W324="Straight-line",IF(N($V324)&lt;=0,0,($S324-N($U324))*MIN($AJ324,$V324)/$V324),IF($W324="Reducing balance",MIN(($S324-N($U324)),$S324-$S324*(1-N($AG324))^INT($AJ324/12)*(1-N($AG324)*MOD($AJ324,12)/12)),IF($W324="DDB",IF(N($V324)&lt;=0,0,MIN(($S324-N($U324)),$S324-$S324*(1-MIN(1,24/$V324))^INT($AJ324/12)*(1-MIN(1,24/$V324)*MOD($AJ324,12)/12))),IF($W324="SYD",IF(N($V324)&lt;=0,0,($S324-N($U324))*(INT(MIN($AJ324,$V324)/12)*(2*($V324/12)-INT(MIN($AJ324,$V324)/12)+1)/2+MOD(MIN($AJ324,$V324),12)/12*(($V324/12)-INT(MIN($AJ324,$V324)/12)))/(($V324/12)*(($V324/12)+1)/2)),0))))),2))</f>
        <v/>
      </c>
      <c r="Y324" s="23">
        <f>IF($X324="","",$S324-$X324)</f>
        <v/>
      </c>
      <c r="AD324" s="20" t="n"/>
      <c r="AG324" s="24" t="n"/>
      <c r="AH324" s="20" t="n"/>
      <c r="AI324" s="21" t="n"/>
      <c r="AJ324" s="25">
        <f>IF($R324="","",IF($R324&gt;IF($AH324&lt;&gt;"",MIN($AH324,Settings!$B$3),Settings!$B$3),0,(YEAR(IF($AH324&lt;&gt;"",MIN($AH324,Settings!$B$3),Settings!$B$3))-YEAR($R324))*12+MONTH(IF($AH324&lt;&gt;"",MIN($AH324,Settings!$B$3),Settings!$B$3))-MONTH($R324)+1))</f>
        <v/>
      </c>
      <c r="AK324" s="25">
        <f>IF($R324="","",IF($R324&gt;MIN(Settings!$B$4-1,IF($AH324&lt;&gt;"",MIN($AH324,Settings!$B$3),Settings!$B$3)),0,(YEAR(MIN(Settings!$B$4-1,IF($AH324&lt;&gt;"",MIN($AH324,Settings!$B$3),Settings!$B$3)))-YEAR($R324))*12+MONTH(MIN(Settings!$B$4-1,IF($AH324&lt;&gt;"",MIN($AH324,Settings!$B$3),Settings!$B$3)))-MONTH($R324)+1))</f>
        <v/>
      </c>
      <c r="AL324" s="23">
        <f>IF(OR($S324="",$R324=""),"",ROUND(MAX(0,IF($W324="Straight-line",IF(N($V324)&lt;=0,0,($S324-N($U324))*MIN($AK324,$V324)/$V324),IF($W324="Reducing balance",MIN(($S324-N($U324)),$S324-$S324*(1-N($AG324))^INT($AK324/12)*(1-N($AG324)*MOD($AK324,12)/12)),IF($W324="DDB",IF(N($V324)&lt;=0,0,MIN(($S324-N($U324)),$S324-$S324*(1-MIN(1,24/$V324))^INT($AK324/12)*(1-MIN(1,24/$V324)*MOD($AK324,12)/12))),IF($W324="SYD",IF(N($V324)&lt;=0,0,($S324-N($U324))*(INT(MIN($AK324,$V324)/12)*(2*($V324/12)-INT(MIN($AK324,$V324)/12)+1)/2+MOD(MIN($AK324,$V324),12)/12*(($V324/12)-INT(MIN($AK324,$V324)/12)))/(($V324/12)*(($V324/12)+1)/2)),0))))),2))</f>
        <v/>
      </c>
      <c r="AM324" s="23">
        <f>IF($X324="","",$X324-$AL324)</f>
        <v/>
      </c>
      <c r="AN324" s="23">
        <f>IF(OR($AH324="",$Y324=""),"",N($AI324)-$Y324)</f>
        <v/>
      </c>
    </row>
    <row r="325">
      <c r="Q325" s="20" t="n"/>
      <c r="R325" s="20" t="n"/>
      <c r="S325" s="21" t="n"/>
      <c r="U325" s="21" t="n"/>
      <c r="V325" s="22" t="n"/>
      <c r="X325" s="23">
        <f>IF(OR($S325="",$R325=""),"",ROUND(MAX(0,IF($W325="Straight-line",IF(N($V325)&lt;=0,0,($S325-N($U325))*MIN($AJ325,$V325)/$V325),IF($W325="Reducing balance",MIN(($S325-N($U325)),$S325-$S325*(1-N($AG325))^INT($AJ325/12)*(1-N($AG325)*MOD($AJ325,12)/12)),IF($W325="DDB",IF(N($V325)&lt;=0,0,MIN(($S325-N($U325)),$S325-$S325*(1-MIN(1,24/$V325))^INT($AJ325/12)*(1-MIN(1,24/$V325)*MOD($AJ325,12)/12))),IF($W325="SYD",IF(N($V325)&lt;=0,0,($S325-N($U325))*(INT(MIN($AJ325,$V325)/12)*(2*($V325/12)-INT(MIN($AJ325,$V325)/12)+1)/2+MOD(MIN($AJ325,$V325),12)/12*(($V325/12)-INT(MIN($AJ325,$V325)/12)))/(($V325/12)*(($V325/12)+1)/2)),0))))),2))</f>
        <v/>
      </c>
      <c r="Y325" s="23">
        <f>IF($X325="","",$S325-$X325)</f>
        <v/>
      </c>
      <c r="AD325" s="20" t="n"/>
      <c r="AG325" s="24" t="n"/>
      <c r="AH325" s="20" t="n"/>
      <c r="AI325" s="21" t="n"/>
      <c r="AJ325" s="25">
        <f>IF($R325="","",IF($R325&gt;IF($AH325&lt;&gt;"",MIN($AH325,Settings!$B$3),Settings!$B$3),0,(YEAR(IF($AH325&lt;&gt;"",MIN($AH325,Settings!$B$3),Settings!$B$3))-YEAR($R325))*12+MONTH(IF($AH325&lt;&gt;"",MIN($AH325,Settings!$B$3),Settings!$B$3))-MONTH($R325)+1))</f>
        <v/>
      </c>
      <c r="AK325" s="25">
        <f>IF($R325="","",IF($R325&gt;MIN(Settings!$B$4-1,IF($AH325&lt;&gt;"",MIN($AH325,Settings!$B$3),Settings!$B$3)),0,(YEAR(MIN(Settings!$B$4-1,IF($AH325&lt;&gt;"",MIN($AH325,Settings!$B$3),Settings!$B$3)))-YEAR($R325))*12+MONTH(MIN(Settings!$B$4-1,IF($AH325&lt;&gt;"",MIN($AH325,Settings!$B$3),Settings!$B$3)))-MONTH($R325)+1))</f>
        <v/>
      </c>
      <c r="AL325" s="23">
        <f>IF(OR($S325="",$R325=""),"",ROUND(MAX(0,IF($W325="Straight-line",IF(N($V325)&lt;=0,0,($S325-N($U325))*MIN($AK325,$V325)/$V325),IF($W325="Reducing balance",MIN(($S325-N($U325)),$S325-$S325*(1-N($AG325))^INT($AK325/12)*(1-N($AG325)*MOD($AK325,12)/12)),IF($W325="DDB",IF(N($V325)&lt;=0,0,MIN(($S325-N($U325)),$S325-$S325*(1-MIN(1,24/$V325))^INT($AK325/12)*(1-MIN(1,24/$V325)*MOD($AK325,12)/12))),IF($W325="SYD",IF(N($V325)&lt;=0,0,($S325-N($U325))*(INT(MIN($AK325,$V325)/12)*(2*($V325/12)-INT(MIN($AK325,$V325)/12)+1)/2+MOD(MIN($AK325,$V325),12)/12*(($V325/12)-INT(MIN($AK325,$V325)/12)))/(($V325/12)*(($V325/12)+1)/2)),0))))),2))</f>
        <v/>
      </c>
      <c r="AM325" s="23">
        <f>IF($X325="","",$X325-$AL325)</f>
        <v/>
      </c>
      <c r="AN325" s="23">
        <f>IF(OR($AH325="",$Y325=""),"",N($AI325)-$Y325)</f>
        <v/>
      </c>
    </row>
    <row r="326">
      <c r="Q326" s="20" t="n"/>
      <c r="R326" s="20" t="n"/>
      <c r="S326" s="21" t="n"/>
      <c r="U326" s="21" t="n"/>
      <c r="V326" s="22" t="n"/>
      <c r="X326" s="23">
        <f>IF(OR($S326="",$R326=""),"",ROUND(MAX(0,IF($W326="Straight-line",IF(N($V326)&lt;=0,0,($S326-N($U326))*MIN($AJ326,$V326)/$V326),IF($W326="Reducing balance",MIN(($S326-N($U326)),$S326-$S326*(1-N($AG326))^INT($AJ326/12)*(1-N($AG326)*MOD($AJ326,12)/12)),IF($W326="DDB",IF(N($V326)&lt;=0,0,MIN(($S326-N($U326)),$S326-$S326*(1-MIN(1,24/$V326))^INT($AJ326/12)*(1-MIN(1,24/$V326)*MOD($AJ326,12)/12))),IF($W326="SYD",IF(N($V326)&lt;=0,0,($S326-N($U326))*(INT(MIN($AJ326,$V326)/12)*(2*($V326/12)-INT(MIN($AJ326,$V326)/12)+1)/2+MOD(MIN($AJ326,$V326),12)/12*(($V326/12)-INT(MIN($AJ326,$V326)/12)))/(($V326/12)*(($V326/12)+1)/2)),0))))),2))</f>
        <v/>
      </c>
      <c r="Y326" s="23">
        <f>IF($X326="","",$S326-$X326)</f>
        <v/>
      </c>
      <c r="AD326" s="20" t="n"/>
      <c r="AG326" s="24" t="n"/>
      <c r="AH326" s="20" t="n"/>
      <c r="AI326" s="21" t="n"/>
      <c r="AJ326" s="25">
        <f>IF($R326="","",IF($R326&gt;IF($AH326&lt;&gt;"",MIN($AH326,Settings!$B$3),Settings!$B$3),0,(YEAR(IF($AH326&lt;&gt;"",MIN($AH326,Settings!$B$3),Settings!$B$3))-YEAR($R326))*12+MONTH(IF($AH326&lt;&gt;"",MIN($AH326,Settings!$B$3),Settings!$B$3))-MONTH($R326)+1))</f>
        <v/>
      </c>
      <c r="AK326" s="25">
        <f>IF($R326="","",IF($R326&gt;MIN(Settings!$B$4-1,IF($AH326&lt;&gt;"",MIN($AH326,Settings!$B$3),Settings!$B$3)),0,(YEAR(MIN(Settings!$B$4-1,IF($AH326&lt;&gt;"",MIN($AH326,Settings!$B$3),Settings!$B$3)))-YEAR($R326))*12+MONTH(MIN(Settings!$B$4-1,IF($AH326&lt;&gt;"",MIN($AH326,Settings!$B$3),Settings!$B$3)))-MONTH($R326)+1))</f>
        <v/>
      </c>
      <c r="AL326" s="23">
        <f>IF(OR($S326="",$R326=""),"",ROUND(MAX(0,IF($W326="Straight-line",IF(N($V326)&lt;=0,0,($S326-N($U326))*MIN($AK326,$V326)/$V326),IF($W326="Reducing balance",MIN(($S326-N($U326)),$S326-$S326*(1-N($AG326))^INT($AK326/12)*(1-N($AG326)*MOD($AK326,12)/12)),IF($W326="DDB",IF(N($V326)&lt;=0,0,MIN(($S326-N($U326)),$S326-$S326*(1-MIN(1,24/$V326))^INT($AK326/12)*(1-MIN(1,24/$V326)*MOD($AK326,12)/12))),IF($W326="SYD",IF(N($V326)&lt;=0,0,($S326-N($U326))*(INT(MIN($AK326,$V326)/12)*(2*($V326/12)-INT(MIN($AK326,$V326)/12)+1)/2+MOD(MIN($AK326,$V326),12)/12*(($V326/12)-INT(MIN($AK326,$V326)/12)))/(($V326/12)*(($V326/12)+1)/2)),0))))),2))</f>
        <v/>
      </c>
      <c r="AM326" s="23">
        <f>IF($X326="","",$X326-$AL326)</f>
        <v/>
      </c>
      <c r="AN326" s="23">
        <f>IF(OR($AH326="",$Y326=""),"",N($AI326)-$Y326)</f>
        <v/>
      </c>
    </row>
    <row r="327">
      <c r="Q327" s="20" t="n"/>
      <c r="R327" s="20" t="n"/>
      <c r="S327" s="21" t="n"/>
      <c r="U327" s="21" t="n"/>
      <c r="V327" s="22" t="n"/>
      <c r="X327" s="23">
        <f>IF(OR($S327="",$R327=""),"",ROUND(MAX(0,IF($W327="Straight-line",IF(N($V327)&lt;=0,0,($S327-N($U327))*MIN($AJ327,$V327)/$V327),IF($W327="Reducing balance",MIN(($S327-N($U327)),$S327-$S327*(1-N($AG327))^INT($AJ327/12)*(1-N($AG327)*MOD($AJ327,12)/12)),IF($W327="DDB",IF(N($V327)&lt;=0,0,MIN(($S327-N($U327)),$S327-$S327*(1-MIN(1,24/$V327))^INT($AJ327/12)*(1-MIN(1,24/$V327)*MOD($AJ327,12)/12))),IF($W327="SYD",IF(N($V327)&lt;=0,0,($S327-N($U327))*(INT(MIN($AJ327,$V327)/12)*(2*($V327/12)-INT(MIN($AJ327,$V327)/12)+1)/2+MOD(MIN($AJ327,$V327),12)/12*(($V327/12)-INT(MIN($AJ327,$V327)/12)))/(($V327/12)*(($V327/12)+1)/2)),0))))),2))</f>
        <v/>
      </c>
      <c r="Y327" s="23">
        <f>IF($X327="","",$S327-$X327)</f>
        <v/>
      </c>
      <c r="AD327" s="20" t="n"/>
      <c r="AG327" s="24" t="n"/>
      <c r="AH327" s="20" t="n"/>
      <c r="AI327" s="21" t="n"/>
      <c r="AJ327" s="25">
        <f>IF($R327="","",IF($R327&gt;IF($AH327&lt;&gt;"",MIN($AH327,Settings!$B$3),Settings!$B$3),0,(YEAR(IF($AH327&lt;&gt;"",MIN($AH327,Settings!$B$3),Settings!$B$3))-YEAR($R327))*12+MONTH(IF($AH327&lt;&gt;"",MIN($AH327,Settings!$B$3),Settings!$B$3))-MONTH($R327)+1))</f>
        <v/>
      </c>
      <c r="AK327" s="25">
        <f>IF($R327="","",IF($R327&gt;MIN(Settings!$B$4-1,IF($AH327&lt;&gt;"",MIN($AH327,Settings!$B$3),Settings!$B$3)),0,(YEAR(MIN(Settings!$B$4-1,IF($AH327&lt;&gt;"",MIN($AH327,Settings!$B$3),Settings!$B$3)))-YEAR($R327))*12+MONTH(MIN(Settings!$B$4-1,IF($AH327&lt;&gt;"",MIN($AH327,Settings!$B$3),Settings!$B$3)))-MONTH($R327)+1))</f>
        <v/>
      </c>
      <c r="AL327" s="23">
        <f>IF(OR($S327="",$R327=""),"",ROUND(MAX(0,IF($W327="Straight-line",IF(N($V327)&lt;=0,0,($S327-N($U327))*MIN($AK327,$V327)/$V327),IF($W327="Reducing balance",MIN(($S327-N($U327)),$S327-$S327*(1-N($AG327))^INT($AK327/12)*(1-N($AG327)*MOD($AK327,12)/12)),IF($W327="DDB",IF(N($V327)&lt;=0,0,MIN(($S327-N($U327)),$S327-$S327*(1-MIN(1,24/$V327))^INT($AK327/12)*(1-MIN(1,24/$V327)*MOD($AK327,12)/12))),IF($W327="SYD",IF(N($V327)&lt;=0,0,($S327-N($U327))*(INT(MIN($AK327,$V327)/12)*(2*($V327/12)-INT(MIN($AK327,$V327)/12)+1)/2+MOD(MIN($AK327,$V327),12)/12*(($V327/12)-INT(MIN($AK327,$V327)/12)))/(($V327/12)*(($V327/12)+1)/2)),0))))),2))</f>
        <v/>
      </c>
      <c r="AM327" s="23">
        <f>IF($X327="","",$X327-$AL327)</f>
        <v/>
      </c>
      <c r="AN327" s="23">
        <f>IF(OR($AH327="",$Y327=""),"",N($AI327)-$Y327)</f>
        <v/>
      </c>
    </row>
    <row r="328">
      <c r="Q328" s="20" t="n"/>
      <c r="R328" s="20" t="n"/>
      <c r="S328" s="21" t="n"/>
      <c r="U328" s="21" t="n"/>
      <c r="V328" s="22" t="n"/>
      <c r="X328" s="23">
        <f>IF(OR($S328="",$R328=""),"",ROUND(MAX(0,IF($W328="Straight-line",IF(N($V328)&lt;=0,0,($S328-N($U328))*MIN($AJ328,$V328)/$V328),IF($W328="Reducing balance",MIN(($S328-N($U328)),$S328-$S328*(1-N($AG328))^INT($AJ328/12)*(1-N($AG328)*MOD($AJ328,12)/12)),IF($W328="DDB",IF(N($V328)&lt;=0,0,MIN(($S328-N($U328)),$S328-$S328*(1-MIN(1,24/$V328))^INT($AJ328/12)*(1-MIN(1,24/$V328)*MOD($AJ328,12)/12))),IF($W328="SYD",IF(N($V328)&lt;=0,0,($S328-N($U328))*(INT(MIN($AJ328,$V328)/12)*(2*($V328/12)-INT(MIN($AJ328,$V328)/12)+1)/2+MOD(MIN($AJ328,$V328),12)/12*(($V328/12)-INT(MIN($AJ328,$V328)/12)))/(($V328/12)*(($V328/12)+1)/2)),0))))),2))</f>
        <v/>
      </c>
      <c r="Y328" s="23">
        <f>IF($X328="","",$S328-$X328)</f>
        <v/>
      </c>
      <c r="AD328" s="20" t="n"/>
      <c r="AG328" s="24" t="n"/>
      <c r="AH328" s="20" t="n"/>
      <c r="AI328" s="21" t="n"/>
      <c r="AJ328" s="25">
        <f>IF($R328="","",IF($R328&gt;IF($AH328&lt;&gt;"",MIN($AH328,Settings!$B$3),Settings!$B$3),0,(YEAR(IF($AH328&lt;&gt;"",MIN($AH328,Settings!$B$3),Settings!$B$3))-YEAR($R328))*12+MONTH(IF($AH328&lt;&gt;"",MIN($AH328,Settings!$B$3),Settings!$B$3))-MONTH($R328)+1))</f>
        <v/>
      </c>
      <c r="AK328" s="25">
        <f>IF($R328="","",IF($R328&gt;MIN(Settings!$B$4-1,IF($AH328&lt;&gt;"",MIN($AH328,Settings!$B$3),Settings!$B$3)),0,(YEAR(MIN(Settings!$B$4-1,IF($AH328&lt;&gt;"",MIN($AH328,Settings!$B$3),Settings!$B$3)))-YEAR($R328))*12+MONTH(MIN(Settings!$B$4-1,IF($AH328&lt;&gt;"",MIN($AH328,Settings!$B$3),Settings!$B$3)))-MONTH($R328)+1))</f>
        <v/>
      </c>
      <c r="AL328" s="23">
        <f>IF(OR($S328="",$R328=""),"",ROUND(MAX(0,IF($W328="Straight-line",IF(N($V328)&lt;=0,0,($S328-N($U328))*MIN($AK328,$V328)/$V328),IF($W328="Reducing balance",MIN(($S328-N($U328)),$S328-$S328*(1-N($AG328))^INT($AK328/12)*(1-N($AG328)*MOD($AK328,12)/12)),IF($W328="DDB",IF(N($V328)&lt;=0,0,MIN(($S328-N($U328)),$S328-$S328*(1-MIN(1,24/$V328))^INT($AK328/12)*(1-MIN(1,24/$V328)*MOD($AK328,12)/12))),IF($W328="SYD",IF(N($V328)&lt;=0,0,($S328-N($U328))*(INT(MIN($AK328,$V328)/12)*(2*($V328/12)-INT(MIN($AK328,$V328)/12)+1)/2+MOD(MIN($AK328,$V328),12)/12*(($V328/12)-INT(MIN($AK328,$V328)/12)))/(($V328/12)*(($V328/12)+1)/2)),0))))),2))</f>
        <v/>
      </c>
      <c r="AM328" s="23">
        <f>IF($X328="","",$X328-$AL328)</f>
        <v/>
      </c>
      <c r="AN328" s="23">
        <f>IF(OR($AH328="",$Y328=""),"",N($AI328)-$Y328)</f>
        <v/>
      </c>
    </row>
    <row r="329">
      <c r="Q329" s="20" t="n"/>
      <c r="R329" s="20" t="n"/>
      <c r="S329" s="21" t="n"/>
      <c r="U329" s="21" t="n"/>
      <c r="V329" s="22" t="n"/>
      <c r="X329" s="23">
        <f>IF(OR($S329="",$R329=""),"",ROUND(MAX(0,IF($W329="Straight-line",IF(N($V329)&lt;=0,0,($S329-N($U329))*MIN($AJ329,$V329)/$V329),IF($W329="Reducing balance",MIN(($S329-N($U329)),$S329-$S329*(1-N($AG329))^INT($AJ329/12)*(1-N($AG329)*MOD($AJ329,12)/12)),IF($W329="DDB",IF(N($V329)&lt;=0,0,MIN(($S329-N($U329)),$S329-$S329*(1-MIN(1,24/$V329))^INT($AJ329/12)*(1-MIN(1,24/$V329)*MOD($AJ329,12)/12))),IF($W329="SYD",IF(N($V329)&lt;=0,0,($S329-N($U329))*(INT(MIN($AJ329,$V329)/12)*(2*($V329/12)-INT(MIN($AJ329,$V329)/12)+1)/2+MOD(MIN($AJ329,$V329),12)/12*(($V329/12)-INT(MIN($AJ329,$V329)/12)))/(($V329/12)*(($V329/12)+1)/2)),0))))),2))</f>
        <v/>
      </c>
      <c r="Y329" s="23">
        <f>IF($X329="","",$S329-$X329)</f>
        <v/>
      </c>
      <c r="AD329" s="20" t="n"/>
      <c r="AG329" s="24" t="n"/>
      <c r="AH329" s="20" t="n"/>
      <c r="AI329" s="21" t="n"/>
      <c r="AJ329" s="25">
        <f>IF($R329="","",IF($R329&gt;IF($AH329&lt;&gt;"",MIN($AH329,Settings!$B$3),Settings!$B$3),0,(YEAR(IF($AH329&lt;&gt;"",MIN($AH329,Settings!$B$3),Settings!$B$3))-YEAR($R329))*12+MONTH(IF($AH329&lt;&gt;"",MIN($AH329,Settings!$B$3),Settings!$B$3))-MONTH($R329)+1))</f>
        <v/>
      </c>
      <c r="AK329" s="25">
        <f>IF($R329="","",IF($R329&gt;MIN(Settings!$B$4-1,IF($AH329&lt;&gt;"",MIN($AH329,Settings!$B$3),Settings!$B$3)),0,(YEAR(MIN(Settings!$B$4-1,IF($AH329&lt;&gt;"",MIN($AH329,Settings!$B$3),Settings!$B$3)))-YEAR($R329))*12+MONTH(MIN(Settings!$B$4-1,IF($AH329&lt;&gt;"",MIN($AH329,Settings!$B$3),Settings!$B$3)))-MONTH($R329)+1))</f>
        <v/>
      </c>
      <c r="AL329" s="23">
        <f>IF(OR($S329="",$R329=""),"",ROUND(MAX(0,IF($W329="Straight-line",IF(N($V329)&lt;=0,0,($S329-N($U329))*MIN($AK329,$V329)/$V329),IF($W329="Reducing balance",MIN(($S329-N($U329)),$S329-$S329*(1-N($AG329))^INT($AK329/12)*(1-N($AG329)*MOD($AK329,12)/12)),IF($W329="DDB",IF(N($V329)&lt;=0,0,MIN(($S329-N($U329)),$S329-$S329*(1-MIN(1,24/$V329))^INT($AK329/12)*(1-MIN(1,24/$V329)*MOD($AK329,12)/12))),IF($W329="SYD",IF(N($V329)&lt;=0,0,($S329-N($U329))*(INT(MIN($AK329,$V329)/12)*(2*($V329/12)-INT(MIN($AK329,$V329)/12)+1)/2+MOD(MIN($AK329,$V329),12)/12*(($V329/12)-INT(MIN($AK329,$V329)/12)))/(($V329/12)*(($V329/12)+1)/2)),0))))),2))</f>
        <v/>
      </c>
      <c r="AM329" s="23">
        <f>IF($X329="","",$X329-$AL329)</f>
        <v/>
      </c>
      <c r="AN329" s="23">
        <f>IF(OR($AH329="",$Y329=""),"",N($AI329)-$Y329)</f>
        <v/>
      </c>
    </row>
    <row r="330">
      <c r="Q330" s="20" t="n"/>
      <c r="R330" s="20" t="n"/>
      <c r="S330" s="21" t="n"/>
      <c r="U330" s="21" t="n"/>
      <c r="V330" s="22" t="n"/>
      <c r="X330" s="23">
        <f>IF(OR($S330="",$R330=""),"",ROUND(MAX(0,IF($W330="Straight-line",IF(N($V330)&lt;=0,0,($S330-N($U330))*MIN($AJ330,$V330)/$V330),IF($W330="Reducing balance",MIN(($S330-N($U330)),$S330-$S330*(1-N($AG330))^INT($AJ330/12)*(1-N($AG330)*MOD($AJ330,12)/12)),IF($W330="DDB",IF(N($V330)&lt;=0,0,MIN(($S330-N($U330)),$S330-$S330*(1-MIN(1,24/$V330))^INT($AJ330/12)*(1-MIN(1,24/$V330)*MOD($AJ330,12)/12))),IF($W330="SYD",IF(N($V330)&lt;=0,0,($S330-N($U330))*(INT(MIN($AJ330,$V330)/12)*(2*($V330/12)-INT(MIN($AJ330,$V330)/12)+1)/2+MOD(MIN($AJ330,$V330),12)/12*(($V330/12)-INT(MIN($AJ330,$V330)/12)))/(($V330/12)*(($V330/12)+1)/2)),0))))),2))</f>
        <v/>
      </c>
      <c r="Y330" s="23">
        <f>IF($X330="","",$S330-$X330)</f>
        <v/>
      </c>
      <c r="AD330" s="20" t="n"/>
      <c r="AG330" s="24" t="n"/>
      <c r="AH330" s="20" t="n"/>
      <c r="AI330" s="21" t="n"/>
      <c r="AJ330" s="25">
        <f>IF($R330="","",IF($R330&gt;IF($AH330&lt;&gt;"",MIN($AH330,Settings!$B$3),Settings!$B$3),0,(YEAR(IF($AH330&lt;&gt;"",MIN($AH330,Settings!$B$3),Settings!$B$3))-YEAR($R330))*12+MONTH(IF($AH330&lt;&gt;"",MIN($AH330,Settings!$B$3),Settings!$B$3))-MONTH($R330)+1))</f>
        <v/>
      </c>
      <c r="AK330" s="25">
        <f>IF($R330="","",IF($R330&gt;MIN(Settings!$B$4-1,IF($AH330&lt;&gt;"",MIN($AH330,Settings!$B$3),Settings!$B$3)),0,(YEAR(MIN(Settings!$B$4-1,IF($AH330&lt;&gt;"",MIN($AH330,Settings!$B$3),Settings!$B$3)))-YEAR($R330))*12+MONTH(MIN(Settings!$B$4-1,IF($AH330&lt;&gt;"",MIN($AH330,Settings!$B$3),Settings!$B$3)))-MONTH($R330)+1))</f>
        <v/>
      </c>
      <c r="AL330" s="23">
        <f>IF(OR($S330="",$R330=""),"",ROUND(MAX(0,IF($W330="Straight-line",IF(N($V330)&lt;=0,0,($S330-N($U330))*MIN($AK330,$V330)/$V330),IF($W330="Reducing balance",MIN(($S330-N($U330)),$S330-$S330*(1-N($AG330))^INT($AK330/12)*(1-N($AG330)*MOD($AK330,12)/12)),IF($W330="DDB",IF(N($V330)&lt;=0,0,MIN(($S330-N($U330)),$S330-$S330*(1-MIN(1,24/$V330))^INT($AK330/12)*(1-MIN(1,24/$V330)*MOD($AK330,12)/12))),IF($W330="SYD",IF(N($V330)&lt;=0,0,($S330-N($U330))*(INT(MIN($AK330,$V330)/12)*(2*($V330/12)-INT(MIN($AK330,$V330)/12)+1)/2+MOD(MIN($AK330,$V330),12)/12*(($V330/12)-INT(MIN($AK330,$V330)/12)))/(($V330/12)*(($V330/12)+1)/2)),0))))),2))</f>
        <v/>
      </c>
      <c r="AM330" s="23">
        <f>IF($X330="","",$X330-$AL330)</f>
        <v/>
      </c>
      <c r="AN330" s="23">
        <f>IF(OR($AH330="",$Y330=""),"",N($AI330)-$Y330)</f>
        <v/>
      </c>
    </row>
    <row r="331">
      <c r="Q331" s="20" t="n"/>
      <c r="R331" s="20" t="n"/>
      <c r="S331" s="21" t="n"/>
      <c r="U331" s="21" t="n"/>
      <c r="V331" s="22" t="n"/>
      <c r="X331" s="23">
        <f>IF(OR($S331="",$R331=""),"",ROUND(MAX(0,IF($W331="Straight-line",IF(N($V331)&lt;=0,0,($S331-N($U331))*MIN($AJ331,$V331)/$V331),IF($W331="Reducing balance",MIN(($S331-N($U331)),$S331-$S331*(1-N($AG331))^INT($AJ331/12)*(1-N($AG331)*MOD($AJ331,12)/12)),IF($W331="DDB",IF(N($V331)&lt;=0,0,MIN(($S331-N($U331)),$S331-$S331*(1-MIN(1,24/$V331))^INT($AJ331/12)*(1-MIN(1,24/$V331)*MOD($AJ331,12)/12))),IF($W331="SYD",IF(N($V331)&lt;=0,0,($S331-N($U331))*(INT(MIN($AJ331,$V331)/12)*(2*($V331/12)-INT(MIN($AJ331,$V331)/12)+1)/2+MOD(MIN($AJ331,$V331),12)/12*(($V331/12)-INT(MIN($AJ331,$V331)/12)))/(($V331/12)*(($V331/12)+1)/2)),0))))),2))</f>
        <v/>
      </c>
      <c r="Y331" s="23">
        <f>IF($X331="","",$S331-$X331)</f>
        <v/>
      </c>
      <c r="AD331" s="20" t="n"/>
      <c r="AG331" s="24" t="n"/>
      <c r="AH331" s="20" t="n"/>
      <c r="AI331" s="21" t="n"/>
      <c r="AJ331" s="25">
        <f>IF($R331="","",IF($R331&gt;IF($AH331&lt;&gt;"",MIN($AH331,Settings!$B$3),Settings!$B$3),0,(YEAR(IF($AH331&lt;&gt;"",MIN($AH331,Settings!$B$3),Settings!$B$3))-YEAR($R331))*12+MONTH(IF($AH331&lt;&gt;"",MIN($AH331,Settings!$B$3),Settings!$B$3))-MONTH($R331)+1))</f>
        <v/>
      </c>
      <c r="AK331" s="25">
        <f>IF($R331="","",IF($R331&gt;MIN(Settings!$B$4-1,IF($AH331&lt;&gt;"",MIN($AH331,Settings!$B$3),Settings!$B$3)),0,(YEAR(MIN(Settings!$B$4-1,IF($AH331&lt;&gt;"",MIN($AH331,Settings!$B$3),Settings!$B$3)))-YEAR($R331))*12+MONTH(MIN(Settings!$B$4-1,IF($AH331&lt;&gt;"",MIN($AH331,Settings!$B$3),Settings!$B$3)))-MONTH($R331)+1))</f>
        <v/>
      </c>
      <c r="AL331" s="23">
        <f>IF(OR($S331="",$R331=""),"",ROUND(MAX(0,IF($W331="Straight-line",IF(N($V331)&lt;=0,0,($S331-N($U331))*MIN($AK331,$V331)/$V331),IF($W331="Reducing balance",MIN(($S331-N($U331)),$S331-$S331*(1-N($AG331))^INT($AK331/12)*(1-N($AG331)*MOD($AK331,12)/12)),IF($W331="DDB",IF(N($V331)&lt;=0,0,MIN(($S331-N($U331)),$S331-$S331*(1-MIN(1,24/$V331))^INT($AK331/12)*(1-MIN(1,24/$V331)*MOD($AK331,12)/12))),IF($W331="SYD",IF(N($V331)&lt;=0,0,($S331-N($U331))*(INT(MIN($AK331,$V331)/12)*(2*($V331/12)-INT(MIN($AK331,$V331)/12)+1)/2+MOD(MIN($AK331,$V331),12)/12*(($V331/12)-INT(MIN($AK331,$V331)/12)))/(($V331/12)*(($V331/12)+1)/2)),0))))),2))</f>
        <v/>
      </c>
      <c r="AM331" s="23">
        <f>IF($X331="","",$X331-$AL331)</f>
        <v/>
      </c>
      <c r="AN331" s="23">
        <f>IF(OR($AH331="",$Y331=""),"",N($AI331)-$Y331)</f>
        <v/>
      </c>
    </row>
    <row r="332">
      <c r="Q332" s="20" t="n"/>
      <c r="R332" s="20" t="n"/>
      <c r="S332" s="21" t="n"/>
      <c r="U332" s="21" t="n"/>
      <c r="V332" s="22" t="n"/>
      <c r="X332" s="23">
        <f>IF(OR($S332="",$R332=""),"",ROUND(MAX(0,IF($W332="Straight-line",IF(N($V332)&lt;=0,0,($S332-N($U332))*MIN($AJ332,$V332)/$V332),IF($W332="Reducing balance",MIN(($S332-N($U332)),$S332-$S332*(1-N($AG332))^INT($AJ332/12)*(1-N($AG332)*MOD($AJ332,12)/12)),IF($W332="DDB",IF(N($V332)&lt;=0,0,MIN(($S332-N($U332)),$S332-$S332*(1-MIN(1,24/$V332))^INT($AJ332/12)*(1-MIN(1,24/$V332)*MOD($AJ332,12)/12))),IF($W332="SYD",IF(N($V332)&lt;=0,0,($S332-N($U332))*(INT(MIN($AJ332,$V332)/12)*(2*($V332/12)-INT(MIN($AJ332,$V332)/12)+1)/2+MOD(MIN($AJ332,$V332),12)/12*(($V332/12)-INT(MIN($AJ332,$V332)/12)))/(($V332/12)*(($V332/12)+1)/2)),0))))),2))</f>
        <v/>
      </c>
      <c r="Y332" s="23">
        <f>IF($X332="","",$S332-$X332)</f>
        <v/>
      </c>
      <c r="AD332" s="20" t="n"/>
      <c r="AG332" s="24" t="n"/>
      <c r="AH332" s="20" t="n"/>
      <c r="AI332" s="21" t="n"/>
      <c r="AJ332" s="25">
        <f>IF($R332="","",IF($R332&gt;IF($AH332&lt;&gt;"",MIN($AH332,Settings!$B$3),Settings!$B$3),0,(YEAR(IF($AH332&lt;&gt;"",MIN($AH332,Settings!$B$3),Settings!$B$3))-YEAR($R332))*12+MONTH(IF($AH332&lt;&gt;"",MIN($AH332,Settings!$B$3),Settings!$B$3))-MONTH($R332)+1))</f>
        <v/>
      </c>
      <c r="AK332" s="25">
        <f>IF($R332="","",IF($R332&gt;MIN(Settings!$B$4-1,IF($AH332&lt;&gt;"",MIN($AH332,Settings!$B$3),Settings!$B$3)),0,(YEAR(MIN(Settings!$B$4-1,IF($AH332&lt;&gt;"",MIN($AH332,Settings!$B$3),Settings!$B$3)))-YEAR($R332))*12+MONTH(MIN(Settings!$B$4-1,IF($AH332&lt;&gt;"",MIN($AH332,Settings!$B$3),Settings!$B$3)))-MONTH($R332)+1))</f>
        <v/>
      </c>
      <c r="AL332" s="23">
        <f>IF(OR($S332="",$R332=""),"",ROUND(MAX(0,IF($W332="Straight-line",IF(N($V332)&lt;=0,0,($S332-N($U332))*MIN($AK332,$V332)/$V332),IF($W332="Reducing balance",MIN(($S332-N($U332)),$S332-$S332*(1-N($AG332))^INT($AK332/12)*(1-N($AG332)*MOD($AK332,12)/12)),IF($W332="DDB",IF(N($V332)&lt;=0,0,MIN(($S332-N($U332)),$S332-$S332*(1-MIN(1,24/$V332))^INT($AK332/12)*(1-MIN(1,24/$V332)*MOD($AK332,12)/12))),IF($W332="SYD",IF(N($V332)&lt;=0,0,($S332-N($U332))*(INT(MIN($AK332,$V332)/12)*(2*($V332/12)-INT(MIN($AK332,$V332)/12)+1)/2+MOD(MIN($AK332,$V332),12)/12*(($V332/12)-INT(MIN($AK332,$V332)/12)))/(($V332/12)*(($V332/12)+1)/2)),0))))),2))</f>
        <v/>
      </c>
      <c r="AM332" s="23">
        <f>IF($X332="","",$X332-$AL332)</f>
        <v/>
      </c>
      <c r="AN332" s="23">
        <f>IF(OR($AH332="",$Y332=""),"",N($AI332)-$Y332)</f>
        <v/>
      </c>
    </row>
    <row r="333">
      <c r="Q333" s="20" t="n"/>
      <c r="R333" s="20" t="n"/>
      <c r="S333" s="21" t="n"/>
      <c r="U333" s="21" t="n"/>
      <c r="V333" s="22" t="n"/>
      <c r="X333" s="23">
        <f>IF(OR($S333="",$R333=""),"",ROUND(MAX(0,IF($W333="Straight-line",IF(N($V333)&lt;=0,0,($S333-N($U333))*MIN($AJ333,$V333)/$V333),IF($W333="Reducing balance",MIN(($S333-N($U333)),$S333-$S333*(1-N($AG333))^INT($AJ333/12)*(1-N($AG333)*MOD($AJ333,12)/12)),IF($W333="DDB",IF(N($V333)&lt;=0,0,MIN(($S333-N($U333)),$S333-$S333*(1-MIN(1,24/$V333))^INT($AJ333/12)*(1-MIN(1,24/$V333)*MOD($AJ333,12)/12))),IF($W333="SYD",IF(N($V333)&lt;=0,0,($S333-N($U333))*(INT(MIN($AJ333,$V333)/12)*(2*($V333/12)-INT(MIN($AJ333,$V333)/12)+1)/2+MOD(MIN($AJ333,$V333),12)/12*(($V333/12)-INT(MIN($AJ333,$V333)/12)))/(($V333/12)*(($V333/12)+1)/2)),0))))),2))</f>
        <v/>
      </c>
      <c r="Y333" s="23">
        <f>IF($X333="","",$S333-$X333)</f>
        <v/>
      </c>
      <c r="AD333" s="20" t="n"/>
      <c r="AG333" s="24" t="n"/>
      <c r="AH333" s="20" t="n"/>
      <c r="AI333" s="21" t="n"/>
      <c r="AJ333" s="25">
        <f>IF($R333="","",IF($R333&gt;IF($AH333&lt;&gt;"",MIN($AH333,Settings!$B$3),Settings!$B$3),0,(YEAR(IF($AH333&lt;&gt;"",MIN($AH333,Settings!$B$3),Settings!$B$3))-YEAR($R333))*12+MONTH(IF($AH333&lt;&gt;"",MIN($AH333,Settings!$B$3),Settings!$B$3))-MONTH($R333)+1))</f>
        <v/>
      </c>
      <c r="AK333" s="25">
        <f>IF($R333="","",IF($R333&gt;MIN(Settings!$B$4-1,IF($AH333&lt;&gt;"",MIN($AH333,Settings!$B$3),Settings!$B$3)),0,(YEAR(MIN(Settings!$B$4-1,IF($AH333&lt;&gt;"",MIN($AH333,Settings!$B$3),Settings!$B$3)))-YEAR($R333))*12+MONTH(MIN(Settings!$B$4-1,IF($AH333&lt;&gt;"",MIN($AH333,Settings!$B$3),Settings!$B$3)))-MONTH($R333)+1))</f>
        <v/>
      </c>
      <c r="AL333" s="23">
        <f>IF(OR($S333="",$R333=""),"",ROUND(MAX(0,IF($W333="Straight-line",IF(N($V333)&lt;=0,0,($S333-N($U333))*MIN($AK333,$V333)/$V333),IF($W333="Reducing balance",MIN(($S333-N($U333)),$S333-$S333*(1-N($AG333))^INT($AK333/12)*(1-N($AG333)*MOD($AK333,12)/12)),IF($W333="DDB",IF(N($V333)&lt;=0,0,MIN(($S333-N($U333)),$S333-$S333*(1-MIN(1,24/$V333))^INT($AK333/12)*(1-MIN(1,24/$V333)*MOD($AK333,12)/12))),IF($W333="SYD",IF(N($V333)&lt;=0,0,($S333-N($U333))*(INT(MIN($AK333,$V333)/12)*(2*($V333/12)-INT(MIN($AK333,$V333)/12)+1)/2+MOD(MIN($AK333,$V333),12)/12*(($V333/12)-INT(MIN($AK333,$V333)/12)))/(($V333/12)*(($V333/12)+1)/2)),0))))),2))</f>
        <v/>
      </c>
      <c r="AM333" s="23">
        <f>IF($X333="","",$X333-$AL333)</f>
        <v/>
      </c>
      <c r="AN333" s="23">
        <f>IF(OR($AH333="",$Y333=""),"",N($AI333)-$Y333)</f>
        <v/>
      </c>
    </row>
    <row r="334">
      <c r="Q334" s="20" t="n"/>
      <c r="R334" s="20" t="n"/>
      <c r="S334" s="21" t="n"/>
      <c r="U334" s="21" t="n"/>
      <c r="V334" s="22" t="n"/>
      <c r="X334" s="23">
        <f>IF(OR($S334="",$R334=""),"",ROUND(MAX(0,IF($W334="Straight-line",IF(N($V334)&lt;=0,0,($S334-N($U334))*MIN($AJ334,$V334)/$V334),IF($W334="Reducing balance",MIN(($S334-N($U334)),$S334-$S334*(1-N($AG334))^INT($AJ334/12)*(1-N($AG334)*MOD($AJ334,12)/12)),IF($W334="DDB",IF(N($V334)&lt;=0,0,MIN(($S334-N($U334)),$S334-$S334*(1-MIN(1,24/$V334))^INT($AJ334/12)*(1-MIN(1,24/$V334)*MOD($AJ334,12)/12))),IF($W334="SYD",IF(N($V334)&lt;=0,0,($S334-N($U334))*(INT(MIN($AJ334,$V334)/12)*(2*($V334/12)-INT(MIN($AJ334,$V334)/12)+1)/2+MOD(MIN($AJ334,$V334),12)/12*(($V334/12)-INT(MIN($AJ334,$V334)/12)))/(($V334/12)*(($V334/12)+1)/2)),0))))),2))</f>
        <v/>
      </c>
      <c r="Y334" s="23">
        <f>IF($X334="","",$S334-$X334)</f>
        <v/>
      </c>
      <c r="AD334" s="20" t="n"/>
      <c r="AG334" s="24" t="n"/>
      <c r="AH334" s="20" t="n"/>
      <c r="AI334" s="21" t="n"/>
      <c r="AJ334" s="25">
        <f>IF($R334="","",IF($R334&gt;IF($AH334&lt;&gt;"",MIN($AH334,Settings!$B$3),Settings!$B$3),0,(YEAR(IF($AH334&lt;&gt;"",MIN($AH334,Settings!$B$3),Settings!$B$3))-YEAR($R334))*12+MONTH(IF($AH334&lt;&gt;"",MIN($AH334,Settings!$B$3),Settings!$B$3))-MONTH($R334)+1))</f>
        <v/>
      </c>
      <c r="AK334" s="25">
        <f>IF($R334="","",IF($R334&gt;MIN(Settings!$B$4-1,IF($AH334&lt;&gt;"",MIN($AH334,Settings!$B$3),Settings!$B$3)),0,(YEAR(MIN(Settings!$B$4-1,IF($AH334&lt;&gt;"",MIN($AH334,Settings!$B$3),Settings!$B$3)))-YEAR($R334))*12+MONTH(MIN(Settings!$B$4-1,IF($AH334&lt;&gt;"",MIN($AH334,Settings!$B$3),Settings!$B$3)))-MONTH($R334)+1))</f>
        <v/>
      </c>
      <c r="AL334" s="23">
        <f>IF(OR($S334="",$R334=""),"",ROUND(MAX(0,IF($W334="Straight-line",IF(N($V334)&lt;=0,0,($S334-N($U334))*MIN($AK334,$V334)/$V334),IF($W334="Reducing balance",MIN(($S334-N($U334)),$S334-$S334*(1-N($AG334))^INT($AK334/12)*(1-N($AG334)*MOD($AK334,12)/12)),IF($W334="DDB",IF(N($V334)&lt;=0,0,MIN(($S334-N($U334)),$S334-$S334*(1-MIN(1,24/$V334))^INT($AK334/12)*(1-MIN(1,24/$V334)*MOD($AK334,12)/12))),IF($W334="SYD",IF(N($V334)&lt;=0,0,($S334-N($U334))*(INT(MIN($AK334,$V334)/12)*(2*($V334/12)-INT(MIN($AK334,$V334)/12)+1)/2+MOD(MIN($AK334,$V334),12)/12*(($V334/12)-INT(MIN($AK334,$V334)/12)))/(($V334/12)*(($V334/12)+1)/2)),0))))),2))</f>
        <v/>
      </c>
      <c r="AM334" s="23">
        <f>IF($X334="","",$X334-$AL334)</f>
        <v/>
      </c>
      <c r="AN334" s="23">
        <f>IF(OR($AH334="",$Y334=""),"",N($AI334)-$Y334)</f>
        <v/>
      </c>
    </row>
    <row r="335">
      <c r="Q335" s="20" t="n"/>
      <c r="R335" s="20" t="n"/>
      <c r="S335" s="21" t="n"/>
      <c r="U335" s="21" t="n"/>
      <c r="V335" s="22" t="n"/>
      <c r="X335" s="23">
        <f>IF(OR($S335="",$R335=""),"",ROUND(MAX(0,IF($W335="Straight-line",IF(N($V335)&lt;=0,0,($S335-N($U335))*MIN($AJ335,$V335)/$V335),IF($W335="Reducing balance",MIN(($S335-N($U335)),$S335-$S335*(1-N($AG335))^INT($AJ335/12)*(1-N($AG335)*MOD($AJ335,12)/12)),IF($W335="DDB",IF(N($V335)&lt;=0,0,MIN(($S335-N($U335)),$S335-$S335*(1-MIN(1,24/$V335))^INT($AJ335/12)*(1-MIN(1,24/$V335)*MOD($AJ335,12)/12))),IF($W335="SYD",IF(N($V335)&lt;=0,0,($S335-N($U335))*(INT(MIN($AJ335,$V335)/12)*(2*($V335/12)-INT(MIN($AJ335,$V335)/12)+1)/2+MOD(MIN($AJ335,$V335),12)/12*(($V335/12)-INT(MIN($AJ335,$V335)/12)))/(($V335/12)*(($V335/12)+1)/2)),0))))),2))</f>
        <v/>
      </c>
      <c r="Y335" s="23">
        <f>IF($X335="","",$S335-$X335)</f>
        <v/>
      </c>
      <c r="AD335" s="20" t="n"/>
      <c r="AG335" s="24" t="n"/>
      <c r="AH335" s="20" t="n"/>
      <c r="AI335" s="21" t="n"/>
      <c r="AJ335" s="25">
        <f>IF($R335="","",IF($R335&gt;IF($AH335&lt;&gt;"",MIN($AH335,Settings!$B$3),Settings!$B$3),0,(YEAR(IF($AH335&lt;&gt;"",MIN($AH335,Settings!$B$3),Settings!$B$3))-YEAR($R335))*12+MONTH(IF($AH335&lt;&gt;"",MIN($AH335,Settings!$B$3),Settings!$B$3))-MONTH($R335)+1))</f>
        <v/>
      </c>
      <c r="AK335" s="25">
        <f>IF($R335="","",IF($R335&gt;MIN(Settings!$B$4-1,IF($AH335&lt;&gt;"",MIN($AH335,Settings!$B$3),Settings!$B$3)),0,(YEAR(MIN(Settings!$B$4-1,IF($AH335&lt;&gt;"",MIN($AH335,Settings!$B$3),Settings!$B$3)))-YEAR($R335))*12+MONTH(MIN(Settings!$B$4-1,IF($AH335&lt;&gt;"",MIN($AH335,Settings!$B$3),Settings!$B$3)))-MONTH($R335)+1))</f>
        <v/>
      </c>
      <c r="AL335" s="23">
        <f>IF(OR($S335="",$R335=""),"",ROUND(MAX(0,IF($W335="Straight-line",IF(N($V335)&lt;=0,0,($S335-N($U335))*MIN($AK335,$V335)/$V335),IF($W335="Reducing balance",MIN(($S335-N($U335)),$S335-$S335*(1-N($AG335))^INT($AK335/12)*(1-N($AG335)*MOD($AK335,12)/12)),IF($W335="DDB",IF(N($V335)&lt;=0,0,MIN(($S335-N($U335)),$S335-$S335*(1-MIN(1,24/$V335))^INT($AK335/12)*(1-MIN(1,24/$V335)*MOD($AK335,12)/12))),IF($W335="SYD",IF(N($V335)&lt;=0,0,($S335-N($U335))*(INT(MIN($AK335,$V335)/12)*(2*($V335/12)-INT(MIN($AK335,$V335)/12)+1)/2+MOD(MIN($AK335,$V335),12)/12*(($V335/12)-INT(MIN($AK335,$V335)/12)))/(($V335/12)*(($V335/12)+1)/2)),0))))),2))</f>
        <v/>
      </c>
      <c r="AM335" s="23">
        <f>IF($X335="","",$X335-$AL335)</f>
        <v/>
      </c>
      <c r="AN335" s="23">
        <f>IF(OR($AH335="",$Y335=""),"",N($AI335)-$Y335)</f>
        <v/>
      </c>
    </row>
    <row r="336">
      <c r="Q336" s="20" t="n"/>
      <c r="R336" s="20" t="n"/>
      <c r="S336" s="21" t="n"/>
      <c r="U336" s="21" t="n"/>
      <c r="V336" s="22" t="n"/>
      <c r="X336" s="23">
        <f>IF(OR($S336="",$R336=""),"",ROUND(MAX(0,IF($W336="Straight-line",IF(N($V336)&lt;=0,0,($S336-N($U336))*MIN($AJ336,$V336)/$V336),IF($W336="Reducing balance",MIN(($S336-N($U336)),$S336-$S336*(1-N($AG336))^INT($AJ336/12)*(1-N($AG336)*MOD($AJ336,12)/12)),IF($W336="DDB",IF(N($V336)&lt;=0,0,MIN(($S336-N($U336)),$S336-$S336*(1-MIN(1,24/$V336))^INT($AJ336/12)*(1-MIN(1,24/$V336)*MOD($AJ336,12)/12))),IF($W336="SYD",IF(N($V336)&lt;=0,0,($S336-N($U336))*(INT(MIN($AJ336,$V336)/12)*(2*($V336/12)-INT(MIN($AJ336,$V336)/12)+1)/2+MOD(MIN($AJ336,$V336),12)/12*(($V336/12)-INT(MIN($AJ336,$V336)/12)))/(($V336/12)*(($V336/12)+1)/2)),0))))),2))</f>
        <v/>
      </c>
      <c r="Y336" s="23">
        <f>IF($X336="","",$S336-$X336)</f>
        <v/>
      </c>
      <c r="AD336" s="20" t="n"/>
      <c r="AG336" s="24" t="n"/>
      <c r="AH336" s="20" t="n"/>
      <c r="AI336" s="21" t="n"/>
      <c r="AJ336" s="25">
        <f>IF($R336="","",IF($R336&gt;IF($AH336&lt;&gt;"",MIN($AH336,Settings!$B$3),Settings!$B$3),0,(YEAR(IF($AH336&lt;&gt;"",MIN($AH336,Settings!$B$3),Settings!$B$3))-YEAR($R336))*12+MONTH(IF($AH336&lt;&gt;"",MIN($AH336,Settings!$B$3),Settings!$B$3))-MONTH($R336)+1))</f>
        <v/>
      </c>
      <c r="AK336" s="25">
        <f>IF($R336="","",IF($R336&gt;MIN(Settings!$B$4-1,IF($AH336&lt;&gt;"",MIN($AH336,Settings!$B$3),Settings!$B$3)),0,(YEAR(MIN(Settings!$B$4-1,IF($AH336&lt;&gt;"",MIN($AH336,Settings!$B$3),Settings!$B$3)))-YEAR($R336))*12+MONTH(MIN(Settings!$B$4-1,IF($AH336&lt;&gt;"",MIN($AH336,Settings!$B$3),Settings!$B$3)))-MONTH($R336)+1))</f>
        <v/>
      </c>
      <c r="AL336" s="23">
        <f>IF(OR($S336="",$R336=""),"",ROUND(MAX(0,IF($W336="Straight-line",IF(N($V336)&lt;=0,0,($S336-N($U336))*MIN($AK336,$V336)/$V336),IF($W336="Reducing balance",MIN(($S336-N($U336)),$S336-$S336*(1-N($AG336))^INT($AK336/12)*(1-N($AG336)*MOD($AK336,12)/12)),IF($W336="DDB",IF(N($V336)&lt;=0,0,MIN(($S336-N($U336)),$S336-$S336*(1-MIN(1,24/$V336))^INT($AK336/12)*(1-MIN(1,24/$V336)*MOD($AK336,12)/12))),IF($W336="SYD",IF(N($V336)&lt;=0,0,($S336-N($U336))*(INT(MIN($AK336,$V336)/12)*(2*($V336/12)-INT(MIN($AK336,$V336)/12)+1)/2+MOD(MIN($AK336,$V336),12)/12*(($V336/12)-INT(MIN($AK336,$V336)/12)))/(($V336/12)*(($V336/12)+1)/2)),0))))),2))</f>
        <v/>
      </c>
      <c r="AM336" s="23">
        <f>IF($X336="","",$X336-$AL336)</f>
        <v/>
      </c>
      <c r="AN336" s="23">
        <f>IF(OR($AH336="",$Y336=""),"",N($AI336)-$Y336)</f>
        <v/>
      </c>
    </row>
    <row r="337">
      <c r="Q337" s="20" t="n"/>
      <c r="R337" s="20" t="n"/>
      <c r="S337" s="21" t="n"/>
      <c r="U337" s="21" t="n"/>
      <c r="V337" s="22" t="n"/>
      <c r="X337" s="23">
        <f>IF(OR($S337="",$R337=""),"",ROUND(MAX(0,IF($W337="Straight-line",IF(N($V337)&lt;=0,0,($S337-N($U337))*MIN($AJ337,$V337)/$V337),IF($W337="Reducing balance",MIN(($S337-N($U337)),$S337-$S337*(1-N($AG337))^INT($AJ337/12)*(1-N($AG337)*MOD($AJ337,12)/12)),IF($W337="DDB",IF(N($V337)&lt;=0,0,MIN(($S337-N($U337)),$S337-$S337*(1-MIN(1,24/$V337))^INT($AJ337/12)*(1-MIN(1,24/$V337)*MOD($AJ337,12)/12))),IF($W337="SYD",IF(N($V337)&lt;=0,0,($S337-N($U337))*(INT(MIN($AJ337,$V337)/12)*(2*($V337/12)-INT(MIN($AJ337,$V337)/12)+1)/2+MOD(MIN($AJ337,$V337),12)/12*(($V337/12)-INT(MIN($AJ337,$V337)/12)))/(($V337/12)*(($V337/12)+1)/2)),0))))),2))</f>
        <v/>
      </c>
      <c r="Y337" s="23">
        <f>IF($X337="","",$S337-$X337)</f>
        <v/>
      </c>
      <c r="AD337" s="20" t="n"/>
      <c r="AG337" s="24" t="n"/>
      <c r="AH337" s="20" t="n"/>
      <c r="AI337" s="21" t="n"/>
      <c r="AJ337" s="25">
        <f>IF($R337="","",IF($R337&gt;IF($AH337&lt;&gt;"",MIN($AH337,Settings!$B$3),Settings!$B$3),0,(YEAR(IF($AH337&lt;&gt;"",MIN($AH337,Settings!$B$3),Settings!$B$3))-YEAR($R337))*12+MONTH(IF($AH337&lt;&gt;"",MIN($AH337,Settings!$B$3),Settings!$B$3))-MONTH($R337)+1))</f>
        <v/>
      </c>
      <c r="AK337" s="25">
        <f>IF($R337="","",IF($R337&gt;MIN(Settings!$B$4-1,IF($AH337&lt;&gt;"",MIN($AH337,Settings!$B$3),Settings!$B$3)),0,(YEAR(MIN(Settings!$B$4-1,IF($AH337&lt;&gt;"",MIN($AH337,Settings!$B$3),Settings!$B$3)))-YEAR($R337))*12+MONTH(MIN(Settings!$B$4-1,IF($AH337&lt;&gt;"",MIN($AH337,Settings!$B$3),Settings!$B$3)))-MONTH($R337)+1))</f>
        <v/>
      </c>
      <c r="AL337" s="23">
        <f>IF(OR($S337="",$R337=""),"",ROUND(MAX(0,IF($W337="Straight-line",IF(N($V337)&lt;=0,0,($S337-N($U337))*MIN($AK337,$V337)/$V337),IF($W337="Reducing balance",MIN(($S337-N($U337)),$S337-$S337*(1-N($AG337))^INT($AK337/12)*(1-N($AG337)*MOD($AK337,12)/12)),IF($W337="DDB",IF(N($V337)&lt;=0,0,MIN(($S337-N($U337)),$S337-$S337*(1-MIN(1,24/$V337))^INT($AK337/12)*(1-MIN(1,24/$V337)*MOD($AK337,12)/12))),IF($W337="SYD",IF(N($V337)&lt;=0,0,($S337-N($U337))*(INT(MIN($AK337,$V337)/12)*(2*($V337/12)-INT(MIN($AK337,$V337)/12)+1)/2+MOD(MIN($AK337,$V337),12)/12*(($V337/12)-INT(MIN($AK337,$V337)/12)))/(($V337/12)*(($V337/12)+1)/2)),0))))),2))</f>
        <v/>
      </c>
      <c r="AM337" s="23">
        <f>IF($X337="","",$X337-$AL337)</f>
        <v/>
      </c>
      <c r="AN337" s="23">
        <f>IF(OR($AH337="",$Y337=""),"",N($AI337)-$Y337)</f>
        <v/>
      </c>
    </row>
    <row r="338">
      <c r="Q338" s="20" t="n"/>
      <c r="R338" s="20" t="n"/>
      <c r="S338" s="21" t="n"/>
      <c r="U338" s="21" t="n"/>
      <c r="V338" s="22" t="n"/>
      <c r="X338" s="23">
        <f>IF(OR($S338="",$R338=""),"",ROUND(MAX(0,IF($W338="Straight-line",IF(N($V338)&lt;=0,0,($S338-N($U338))*MIN($AJ338,$V338)/$V338),IF($W338="Reducing balance",MIN(($S338-N($U338)),$S338-$S338*(1-N($AG338))^INT($AJ338/12)*(1-N($AG338)*MOD($AJ338,12)/12)),IF($W338="DDB",IF(N($V338)&lt;=0,0,MIN(($S338-N($U338)),$S338-$S338*(1-MIN(1,24/$V338))^INT($AJ338/12)*(1-MIN(1,24/$V338)*MOD($AJ338,12)/12))),IF($W338="SYD",IF(N($V338)&lt;=0,0,($S338-N($U338))*(INT(MIN($AJ338,$V338)/12)*(2*($V338/12)-INT(MIN($AJ338,$V338)/12)+1)/2+MOD(MIN($AJ338,$V338),12)/12*(($V338/12)-INT(MIN($AJ338,$V338)/12)))/(($V338/12)*(($V338/12)+1)/2)),0))))),2))</f>
        <v/>
      </c>
      <c r="Y338" s="23">
        <f>IF($X338="","",$S338-$X338)</f>
        <v/>
      </c>
      <c r="AD338" s="20" t="n"/>
      <c r="AG338" s="24" t="n"/>
      <c r="AH338" s="20" t="n"/>
      <c r="AI338" s="21" t="n"/>
      <c r="AJ338" s="25">
        <f>IF($R338="","",IF($R338&gt;IF($AH338&lt;&gt;"",MIN($AH338,Settings!$B$3),Settings!$B$3),0,(YEAR(IF($AH338&lt;&gt;"",MIN($AH338,Settings!$B$3),Settings!$B$3))-YEAR($R338))*12+MONTH(IF($AH338&lt;&gt;"",MIN($AH338,Settings!$B$3),Settings!$B$3))-MONTH($R338)+1))</f>
        <v/>
      </c>
      <c r="AK338" s="25">
        <f>IF($R338="","",IF($R338&gt;MIN(Settings!$B$4-1,IF($AH338&lt;&gt;"",MIN($AH338,Settings!$B$3),Settings!$B$3)),0,(YEAR(MIN(Settings!$B$4-1,IF($AH338&lt;&gt;"",MIN($AH338,Settings!$B$3),Settings!$B$3)))-YEAR($R338))*12+MONTH(MIN(Settings!$B$4-1,IF($AH338&lt;&gt;"",MIN($AH338,Settings!$B$3),Settings!$B$3)))-MONTH($R338)+1))</f>
        <v/>
      </c>
      <c r="AL338" s="23">
        <f>IF(OR($S338="",$R338=""),"",ROUND(MAX(0,IF($W338="Straight-line",IF(N($V338)&lt;=0,0,($S338-N($U338))*MIN($AK338,$V338)/$V338),IF($W338="Reducing balance",MIN(($S338-N($U338)),$S338-$S338*(1-N($AG338))^INT($AK338/12)*(1-N($AG338)*MOD($AK338,12)/12)),IF($W338="DDB",IF(N($V338)&lt;=0,0,MIN(($S338-N($U338)),$S338-$S338*(1-MIN(1,24/$V338))^INT($AK338/12)*(1-MIN(1,24/$V338)*MOD($AK338,12)/12))),IF($W338="SYD",IF(N($V338)&lt;=0,0,($S338-N($U338))*(INT(MIN($AK338,$V338)/12)*(2*($V338/12)-INT(MIN($AK338,$V338)/12)+1)/2+MOD(MIN($AK338,$V338),12)/12*(($V338/12)-INT(MIN($AK338,$V338)/12)))/(($V338/12)*(($V338/12)+1)/2)),0))))),2))</f>
        <v/>
      </c>
      <c r="AM338" s="23">
        <f>IF($X338="","",$X338-$AL338)</f>
        <v/>
      </c>
      <c r="AN338" s="23">
        <f>IF(OR($AH338="",$Y338=""),"",N($AI338)-$Y338)</f>
        <v/>
      </c>
    </row>
    <row r="339">
      <c r="Q339" s="20" t="n"/>
      <c r="R339" s="20" t="n"/>
      <c r="S339" s="21" t="n"/>
      <c r="U339" s="21" t="n"/>
      <c r="V339" s="22" t="n"/>
      <c r="X339" s="23">
        <f>IF(OR($S339="",$R339=""),"",ROUND(MAX(0,IF($W339="Straight-line",IF(N($V339)&lt;=0,0,($S339-N($U339))*MIN($AJ339,$V339)/$V339),IF($W339="Reducing balance",MIN(($S339-N($U339)),$S339-$S339*(1-N($AG339))^INT($AJ339/12)*(1-N($AG339)*MOD($AJ339,12)/12)),IF($W339="DDB",IF(N($V339)&lt;=0,0,MIN(($S339-N($U339)),$S339-$S339*(1-MIN(1,24/$V339))^INT($AJ339/12)*(1-MIN(1,24/$V339)*MOD($AJ339,12)/12))),IF($W339="SYD",IF(N($V339)&lt;=0,0,($S339-N($U339))*(INT(MIN($AJ339,$V339)/12)*(2*($V339/12)-INT(MIN($AJ339,$V339)/12)+1)/2+MOD(MIN($AJ339,$V339),12)/12*(($V339/12)-INT(MIN($AJ339,$V339)/12)))/(($V339/12)*(($V339/12)+1)/2)),0))))),2))</f>
        <v/>
      </c>
      <c r="Y339" s="23">
        <f>IF($X339="","",$S339-$X339)</f>
        <v/>
      </c>
      <c r="AD339" s="20" t="n"/>
      <c r="AG339" s="24" t="n"/>
      <c r="AH339" s="20" t="n"/>
      <c r="AI339" s="21" t="n"/>
      <c r="AJ339" s="25">
        <f>IF($R339="","",IF($R339&gt;IF($AH339&lt;&gt;"",MIN($AH339,Settings!$B$3),Settings!$B$3),0,(YEAR(IF($AH339&lt;&gt;"",MIN($AH339,Settings!$B$3),Settings!$B$3))-YEAR($R339))*12+MONTH(IF($AH339&lt;&gt;"",MIN($AH339,Settings!$B$3),Settings!$B$3))-MONTH($R339)+1))</f>
        <v/>
      </c>
      <c r="AK339" s="25">
        <f>IF($R339="","",IF($R339&gt;MIN(Settings!$B$4-1,IF($AH339&lt;&gt;"",MIN($AH339,Settings!$B$3),Settings!$B$3)),0,(YEAR(MIN(Settings!$B$4-1,IF($AH339&lt;&gt;"",MIN($AH339,Settings!$B$3),Settings!$B$3)))-YEAR($R339))*12+MONTH(MIN(Settings!$B$4-1,IF($AH339&lt;&gt;"",MIN($AH339,Settings!$B$3),Settings!$B$3)))-MONTH($R339)+1))</f>
        <v/>
      </c>
      <c r="AL339" s="23">
        <f>IF(OR($S339="",$R339=""),"",ROUND(MAX(0,IF($W339="Straight-line",IF(N($V339)&lt;=0,0,($S339-N($U339))*MIN($AK339,$V339)/$V339),IF($W339="Reducing balance",MIN(($S339-N($U339)),$S339-$S339*(1-N($AG339))^INT($AK339/12)*(1-N($AG339)*MOD($AK339,12)/12)),IF($W339="DDB",IF(N($V339)&lt;=0,0,MIN(($S339-N($U339)),$S339-$S339*(1-MIN(1,24/$V339))^INT($AK339/12)*(1-MIN(1,24/$V339)*MOD($AK339,12)/12))),IF($W339="SYD",IF(N($V339)&lt;=0,0,($S339-N($U339))*(INT(MIN($AK339,$V339)/12)*(2*($V339/12)-INT(MIN($AK339,$V339)/12)+1)/2+MOD(MIN($AK339,$V339),12)/12*(($V339/12)-INT(MIN($AK339,$V339)/12)))/(($V339/12)*(($V339/12)+1)/2)),0))))),2))</f>
        <v/>
      </c>
      <c r="AM339" s="23">
        <f>IF($X339="","",$X339-$AL339)</f>
        <v/>
      </c>
      <c r="AN339" s="23">
        <f>IF(OR($AH339="",$Y339=""),"",N($AI339)-$Y339)</f>
        <v/>
      </c>
    </row>
    <row r="340">
      <c r="Q340" s="20" t="n"/>
      <c r="R340" s="20" t="n"/>
      <c r="S340" s="21" t="n"/>
      <c r="U340" s="21" t="n"/>
      <c r="V340" s="22" t="n"/>
      <c r="X340" s="23">
        <f>IF(OR($S340="",$R340=""),"",ROUND(MAX(0,IF($W340="Straight-line",IF(N($V340)&lt;=0,0,($S340-N($U340))*MIN($AJ340,$V340)/$V340),IF($W340="Reducing balance",MIN(($S340-N($U340)),$S340-$S340*(1-N($AG340))^INT($AJ340/12)*(1-N($AG340)*MOD($AJ340,12)/12)),IF($W340="DDB",IF(N($V340)&lt;=0,0,MIN(($S340-N($U340)),$S340-$S340*(1-MIN(1,24/$V340))^INT($AJ340/12)*(1-MIN(1,24/$V340)*MOD($AJ340,12)/12))),IF($W340="SYD",IF(N($V340)&lt;=0,0,($S340-N($U340))*(INT(MIN($AJ340,$V340)/12)*(2*($V340/12)-INT(MIN($AJ340,$V340)/12)+1)/2+MOD(MIN($AJ340,$V340),12)/12*(($V340/12)-INT(MIN($AJ340,$V340)/12)))/(($V340/12)*(($V340/12)+1)/2)),0))))),2))</f>
        <v/>
      </c>
      <c r="Y340" s="23">
        <f>IF($X340="","",$S340-$X340)</f>
        <v/>
      </c>
      <c r="AD340" s="20" t="n"/>
      <c r="AG340" s="24" t="n"/>
      <c r="AH340" s="20" t="n"/>
      <c r="AI340" s="21" t="n"/>
      <c r="AJ340" s="25">
        <f>IF($R340="","",IF($R340&gt;IF($AH340&lt;&gt;"",MIN($AH340,Settings!$B$3),Settings!$B$3),0,(YEAR(IF($AH340&lt;&gt;"",MIN($AH340,Settings!$B$3),Settings!$B$3))-YEAR($R340))*12+MONTH(IF($AH340&lt;&gt;"",MIN($AH340,Settings!$B$3),Settings!$B$3))-MONTH($R340)+1))</f>
        <v/>
      </c>
      <c r="AK340" s="25">
        <f>IF($R340="","",IF($R340&gt;MIN(Settings!$B$4-1,IF($AH340&lt;&gt;"",MIN($AH340,Settings!$B$3),Settings!$B$3)),0,(YEAR(MIN(Settings!$B$4-1,IF($AH340&lt;&gt;"",MIN($AH340,Settings!$B$3),Settings!$B$3)))-YEAR($R340))*12+MONTH(MIN(Settings!$B$4-1,IF($AH340&lt;&gt;"",MIN($AH340,Settings!$B$3),Settings!$B$3)))-MONTH($R340)+1))</f>
        <v/>
      </c>
      <c r="AL340" s="23">
        <f>IF(OR($S340="",$R340=""),"",ROUND(MAX(0,IF($W340="Straight-line",IF(N($V340)&lt;=0,0,($S340-N($U340))*MIN($AK340,$V340)/$V340),IF($W340="Reducing balance",MIN(($S340-N($U340)),$S340-$S340*(1-N($AG340))^INT($AK340/12)*(1-N($AG340)*MOD($AK340,12)/12)),IF($W340="DDB",IF(N($V340)&lt;=0,0,MIN(($S340-N($U340)),$S340-$S340*(1-MIN(1,24/$V340))^INT($AK340/12)*(1-MIN(1,24/$V340)*MOD($AK340,12)/12))),IF($W340="SYD",IF(N($V340)&lt;=0,0,($S340-N($U340))*(INT(MIN($AK340,$V340)/12)*(2*($V340/12)-INT(MIN($AK340,$V340)/12)+1)/2+MOD(MIN($AK340,$V340),12)/12*(($V340/12)-INT(MIN($AK340,$V340)/12)))/(($V340/12)*(($V340/12)+1)/2)),0))))),2))</f>
        <v/>
      </c>
      <c r="AM340" s="23">
        <f>IF($X340="","",$X340-$AL340)</f>
        <v/>
      </c>
      <c r="AN340" s="23">
        <f>IF(OR($AH340="",$Y340=""),"",N($AI340)-$Y340)</f>
        <v/>
      </c>
    </row>
    <row r="341">
      <c r="Q341" s="20" t="n"/>
      <c r="R341" s="20" t="n"/>
      <c r="S341" s="21" t="n"/>
      <c r="U341" s="21" t="n"/>
      <c r="V341" s="22" t="n"/>
      <c r="X341" s="23">
        <f>IF(OR($S341="",$R341=""),"",ROUND(MAX(0,IF($W341="Straight-line",IF(N($V341)&lt;=0,0,($S341-N($U341))*MIN($AJ341,$V341)/$V341),IF($W341="Reducing balance",MIN(($S341-N($U341)),$S341-$S341*(1-N($AG341))^INT($AJ341/12)*(1-N($AG341)*MOD($AJ341,12)/12)),IF($W341="DDB",IF(N($V341)&lt;=0,0,MIN(($S341-N($U341)),$S341-$S341*(1-MIN(1,24/$V341))^INT($AJ341/12)*(1-MIN(1,24/$V341)*MOD($AJ341,12)/12))),IF($W341="SYD",IF(N($V341)&lt;=0,0,($S341-N($U341))*(INT(MIN($AJ341,$V341)/12)*(2*($V341/12)-INT(MIN($AJ341,$V341)/12)+1)/2+MOD(MIN($AJ341,$V341),12)/12*(($V341/12)-INT(MIN($AJ341,$V341)/12)))/(($V341/12)*(($V341/12)+1)/2)),0))))),2))</f>
        <v/>
      </c>
      <c r="Y341" s="23">
        <f>IF($X341="","",$S341-$X341)</f>
        <v/>
      </c>
      <c r="AD341" s="20" t="n"/>
      <c r="AG341" s="24" t="n"/>
      <c r="AH341" s="20" t="n"/>
      <c r="AI341" s="21" t="n"/>
      <c r="AJ341" s="25">
        <f>IF($R341="","",IF($R341&gt;IF($AH341&lt;&gt;"",MIN($AH341,Settings!$B$3),Settings!$B$3),0,(YEAR(IF($AH341&lt;&gt;"",MIN($AH341,Settings!$B$3),Settings!$B$3))-YEAR($R341))*12+MONTH(IF($AH341&lt;&gt;"",MIN($AH341,Settings!$B$3),Settings!$B$3))-MONTH($R341)+1))</f>
        <v/>
      </c>
      <c r="AK341" s="25">
        <f>IF($R341="","",IF($R341&gt;MIN(Settings!$B$4-1,IF($AH341&lt;&gt;"",MIN($AH341,Settings!$B$3),Settings!$B$3)),0,(YEAR(MIN(Settings!$B$4-1,IF($AH341&lt;&gt;"",MIN($AH341,Settings!$B$3),Settings!$B$3)))-YEAR($R341))*12+MONTH(MIN(Settings!$B$4-1,IF($AH341&lt;&gt;"",MIN($AH341,Settings!$B$3),Settings!$B$3)))-MONTH($R341)+1))</f>
        <v/>
      </c>
      <c r="AL341" s="23">
        <f>IF(OR($S341="",$R341=""),"",ROUND(MAX(0,IF($W341="Straight-line",IF(N($V341)&lt;=0,0,($S341-N($U341))*MIN($AK341,$V341)/$V341),IF($W341="Reducing balance",MIN(($S341-N($U341)),$S341-$S341*(1-N($AG341))^INT($AK341/12)*(1-N($AG341)*MOD($AK341,12)/12)),IF($W341="DDB",IF(N($V341)&lt;=0,0,MIN(($S341-N($U341)),$S341-$S341*(1-MIN(1,24/$V341))^INT($AK341/12)*(1-MIN(1,24/$V341)*MOD($AK341,12)/12))),IF($W341="SYD",IF(N($V341)&lt;=0,0,($S341-N($U341))*(INT(MIN($AK341,$V341)/12)*(2*($V341/12)-INT(MIN($AK341,$V341)/12)+1)/2+MOD(MIN($AK341,$V341),12)/12*(($V341/12)-INT(MIN($AK341,$V341)/12)))/(($V341/12)*(($V341/12)+1)/2)),0))))),2))</f>
        <v/>
      </c>
      <c r="AM341" s="23">
        <f>IF($X341="","",$X341-$AL341)</f>
        <v/>
      </c>
      <c r="AN341" s="23">
        <f>IF(OR($AH341="",$Y341=""),"",N($AI341)-$Y341)</f>
        <v/>
      </c>
    </row>
    <row r="342">
      <c r="Q342" s="20" t="n"/>
      <c r="R342" s="20" t="n"/>
      <c r="S342" s="21" t="n"/>
      <c r="U342" s="21" t="n"/>
      <c r="V342" s="22" t="n"/>
      <c r="X342" s="23">
        <f>IF(OR($S342="",$R342=""),"",ROUND(MAX(0,IF($W342="Straight-line",IF(N($V342)&lt;=0,0,($S342-N($U342))*MIN($AJ342,$V342)/$V342),IF($W342="Reducing balance",MIN(($S342-N($U342)),$S342-$S342*(1-N($AG342))^INT($AJ342/12)*(1-N($AG342)*MOD($AJ342,12)/12)),IF($W342="DDB",IF(N($V342)&lt;=0,0,MIN(($S342-N($U342)),$S342-$S342*(1-MIN(1,24/$V342))^INT($AJ342/12)*(1-MIN(1,24/$V342)*MOD($AJ342,12)/12))),IF($W342="SYD",IF(N($V342)&lt;=0,0,($S342-N($U342))*(INT(MIN($AJ342,$V342)/12)*(2*($V342/12)-INT(MIN($AJ342,$V342)/12)+1)/2+MOD(MIN($AJ342,$V342),12)/12*(($V342/12)-INT(MIN($AJ342,$V342)/12)))/(($V342/12)*(($V342/12)+1)/2)),0))))),2))</f>
        <v/>
      </c>
      <c r="Y342" s="23">
        <f>IF($X342="","",$S342-$X342)</f>
        <v/>
      </c>
      <c r="AD342" s="20" t="n"/>
      <c r="AG342" s="24" t="n"/>
      <c r="AH342" s="20" t="n"/>
      <c r="AI342" s="21" t="n"/>
      <c r="AJ342" s="25">
        <f>IF($R342="","",IF($R342&gt;IF($AH342&lt;&gt;"",MIN($AH342,Settings!$B$3),Settings!$B$3),0,(YEAR(IF($AH342&lt;&gt;"",MIN($AH342,Settings!$B$3),Settings!$B$3))-YEAR($R342))*12+MONTH(IF($AH342&lt;&gt;"",MIN($AH342,Settings!$B$3),Settings!$B$3))-MONTH($R342)+1))</f>
        <v/>
      </c>
      <c r="AK342" s="25">
        <f>IF($R342="","",IF($R342&gt;MIN(Settings!$B$4-1,IF($AH342&lt;&gt;"",MIN($AH342,Settings!$B$3),Settings!$B$3)),0,(YEAR(MIN(Settings!$B$4-1,IF($AH342&lt;&gt;"",MIN($AH342,Settings!$B$3),Settings!$B$3)))-YEAR($R342))*12+MONTH(MIN(Settings!$B$4-1,IF($AH342&lt;&gt;"",MIN($AH342,Settings!$B$3),Settings!$B$3)))-MONTH($R342)+1))</f>
        <v/>
      </c>
      <c r="AL342" s="23">
        <f>IF(OR($S342="",$R342=""),"",ROUND(MAX(0,IF($W342="Straight-line",IF(N($V342)&lt;=0,0,($S342-N($U342))*MIN($AK342,$V342)/$V342),IF($W342="Reducing balance",MIN(($S342-N($U342)),$S342-$S342*(1-N($AG342))^INT($AK342/12)*(1-N($AG342)*MOD($AK342,12)/12)),IF($W342="DDB",IF(N($V342)&lt;=0,0,MIN(($S342-N($U342)),$S342-$S342*(1-MIN(1,24/$V342))^INT($AK342/12)*(1-MIN(1,24/$V342)*MOD($AK342,12)/12))),IF($W342="SYD",IF(N($V342)&lt;=0,0,($S342-N($U342))*(INT(MIN($AK342,$V342)/12)*(2*($V342/12)-INT(MIN($AK342,$V342)/12)+1)/2+MOD(MIN($AK342,$V342),12)/12*(($V342/12)-INT(MIN($AK342,$V342)/12)))/(($V342/12)*(($V342/12)+1)/2)),0))))),2))</f>
        <v/>
      </c>
      <c r="AM342" s="23">
        <f>IF($X342="","",$X342-$AL342)</f>
        <v/>
      </c>
      <c r="AN342" s="23">
        <f>IF(OR($AH342="",$Y342=""),"",N($AI342)-$Y342)</f>
        <v/>
      </c>
    </row>
    <row r="343">
      <c r="Q343" s="20" t="n"/>
      <c r="R343" s="20" t="n"/>
      <c r="S343" s="21" t="n"/>
      <c r="U343" s="21" t="n"/>
      <c r="V343" s="22" t="n"/>
      <c r="X343" s="23">
        <f>IF(OR($S343="",$R343=""),"",ROUND(MAX(0,IF($W343="Straight-line",IF(N($V343)&lt;=0,0,($S343-N($U343))*MIN($AJ343,$V343)/$V343),IF($W343="Reducing balance",MIN(($S343-N($U343)),$S343-$S343*(1-N($AG343))^INT($AJ343/12)*(1-N($AG343)*MOD($AJ343,12)/12)),IF($W343="DDB",IF(N($V343)&lt;=0,0,MIN(($S343-N($U343)),$S343-$S343*(1-MIN(1,24/$V343))^INT($AJ343/12)*(1-MIN(1,24/$V343)*MOD($AJ343,12)/12))),IF($W343="SYD",IF(N($V343)&lt;=0,0,($S343-N($U343))*(INT(MIN($AJ343,$V343)/12)*(2*($V343/12)-INT(MIN($AJ343,$V343)/12)+1)/2+MOD(MIN($AJ343,$V343),12)/12*(($V343/12)-INT(MIN($AJ343,$V343)/12)))/(($V343/12)*(($V343/12)+1)/2)),0))))),2))</f>
        <v/>
      </c>
      <c r="Y343" s="23">
        <f>IF($X343="","",$S343-$X343)</f>
        <v/>
      </c>
      <c r="AD343" s="20" t="n"/>
      <c r="AG343" s="24" t="n"/>
      <c r="AH343" s="20" t="n"/>
      <c r="AI343" s="21" t="n"/>
      <c r="AJ343" s="25">
        <f>IF($R343="","",IF($R343&gt;IF($AH343&lt;&gt;"",MIN($AH343,Settings!$B$3),Settings!$B$3),0,(YEAR(IF($AH343&lt;&gt;"",MIN($AH343,Settings!$B$3),Settings!$B$3))-YEAR($R343))*12+MONTH(IF($AH343&lt;&gt;"",MIN($AH343,Settings!$B$3),Settings!$B$3))-MONTH($R343)+1))</f>
        <v/>
      </c>
      <c r="AK343" s="25">
        <f>IF($R343="","",IF($R343&gt;MIN(Settings!$B$4-1,IF($AH343&lt;&gt;"",MIN($AH343,Settings!$B$3),Settings!$B$3)),0,(YEAR(MIN(Settings!$B$4-1,IF($AH343&lt;&gt;"",MIN($AH343,Settings!$B$3),Settings!$B$3)))-YEAR($R343))*12+MONTH(MIN(Settings!$B$4-1,IF($AH343&lt;&gt;"",MIN($AH343,Settings!$B$3),Settings!$B$3)))-MONTH($R343)+1))</f>
        <v/>
      </c>
      <c r="AL343" s="23">
        <f>IF(OR($S343="",$R343=""),"",ROUND(MAX(0,IF($W343="Straight-line",IF(N($V343)&lt;=0,0,($S343-N($U343))*MIN($AK343,$V343)/$V343),IF($W343="Reducing balance",MIN(($S343-N($U343)),$S343-$S343*(1-N($AG343))^INT($AK343/12)*(1-N($AG343)*MOD($AK343,12)/12)),IF($W343="DDB",IF(N($V343)&lt;=0,0,MIN(($S343-N($U343)),$S343-$S343*(1-MIN(1,24/$V343))^INT($AK343/12)*(1-MIN(1,24/$V343)*MOD($AK343,12)/12))),IF($W343="SYD",IF(N($V343)&lt;=0,0,($S343-N($U343))*(INT(MIN($AK343,$V343)/12)*(2*($V343/12)-INT(MIN($AK343,$V343)/12)+1)/2+MOD(MIN($AK343,$V343),12)/12*(($V343/12)-INT(MIN($AK343,$V343)/12)))/(($V343/12)*(($V343/12)+1)/2)),0))))),2))</f>
        <v/>
      </c>
      <c r="AM343" s="23">
        <f>IF($X343="","",$X343-$AL343)</f>
        <v/>
      </c>
      <c r="AN343" s="23">
        <f>IF(OR($AH343="",$Y343=""),"",N($AI343)-$Y343)</f>
        <v/>
      </c>
    </row>
    <row r="344">
      <c r="Q344" s="20" t="n"/>
      <c r="R344" s="20" t="n"/>
      <c r="S344" s="21" t="n"/>
      <c r="U344" s="21" t="n"/>
      <c r="V344" s="22" t="n"/>
      <c r="X344" s="23">
        <f>IF(OR($S344="",$R344=""),"",ROUND(MAX(0,IF($W344="Straight-line",IF(N($V344)&lt;=0,0,($S344-N($U344))*MIN($AJ344,$V344)/$V344),IF($W344="Reducing balance",MIN(($S344-N($U344)),$S344-$S344*(1-N($AG344))^INT($AJ344/12)*(1-N($AG344)*MOD($AJ344,12)/12)),IF($W344="DDB",IF(N($V344)&lt;=0,0,MIN(($S344-N($U344)),$S344-$S344*(1-MIN(1,24/$V344))^INT($AJ344/12)*(1-MIN(1,24/$V344)*MOD($AJ344,12)/12))),IF($W344="SYD",IF(N($V344)&lt;=0,0,($S344-N($U344))*(INT(MIN($AJ344,$V344)/12)*(2*($V344/12)-INT(MIN($AJ344,$V344)/12)+1)/2+MOD(MIN($AJ344,$V344),12)/12*(($V344/12)-INT(MIN($AJ344,$V344)/12)))/(($V344/12)*(($V344/12)+1)/2)),0))))),2))</f>
        <v/>
      </c>
      <c r="Y344" s="23">
        <f>IF($X344="","",$S344-$X344)</f>
        <v/>
      </c>
      <c r="AD344" s="20" t="n"/>
      <c r="AG344" s="24" t="n"/>
      <c r="AH344" s="20" t="n"/>
      <c r="AI344" s="21" t="n"/>
      <c r="AJ344" s="25">
        <f>IF($R344="","",IF($R344&gt;IF($AH344&lt;&gt;"",MIN($AH344,Settings!$B$3),Settings!$B$3),0,(YEAR(IF($AH344&lt;&gt;"",MIN($AH344,Settings!$B$3),Settings!$B$3))-YEAR($R344))*12+MONTH(IF($AH344&lt;&gt;"",MIN($AH344,Settings!$B$3),Settings!$B$3))-MONTH($R344)+1))</f>
        <v/>
      </c>
      <c r="AK344" s="25">
        <f>IF($R344="","",IF($R344&gt;MIN(Settings!$B$4-1,IF($AH344&lt;&gt;"",MIN($AH344,Settings!$B$3),Settings!$B$3)),0,(YEAR(MIN(Settings!$B$4-1,IF($AH344&lt;&gt;"",MIN($AH344,Settings!$B$3),Settings!$B$3)))-YEAR($R344))*12+MONTH(MIN(Settings!$B$4-1,IF($AH344&lt;&gt;"",MIN($AH344,Settings!$B$3),Settings!$B$3)))-MONTH($R344)+1))</f>
        <v/>
      </c>
      <c r="AL344" s="23">
        <f>IF(OR($S344="",$R344=""),"",ROUND(MAX(0,IF($W344="Straight-line",IF(N($V344)&lt;=0,0,($S344-N($U344))*MIN($AK344,$V344)/$V344),IF($W344="Reducing balance",MIN(($S344-N($U344)),$S344-$S344*(1-N($AG344))^INT($AK344/12)*(1-N($AG344)*MOD($AK344,12)/12)),IF($W344="DDB",IF(N($V344)&lt;=0,0,MIN(($S344-N($U344)),$S344-$S344*(1-MIN(1,24/$V344))^INT($AK344/12)*(1-MIN(1,24/$V344)*MOD($AK344,12)/12))),IF($W344="SYD",IF(N($V344)&lt;=0,0,($S344-N($U344))*(INT(MIN($AK344,$V344)/12)*(2*($V344/12)-INT(MIN($AK344,$V344)/12)+1)/2+MOD(MIN($AK344,$V344),12)/12*(($V344/12)-INT(MIN($AK344,$V344)/12)))/(($V344/12)*(($V344/12)+1)/2)),0))))),2))</f>
        <v/>
      </c>
      <c r="AM344" s="23">
        <f>IF($X344="","",$X344-$AL344)</f>
        <v/>
      </c>
      <c r="AN344" s="23">
        <f>IF(OR($AH344="",$Y344=""),"",N($AI344)-$Y344)</f>
        <v/>
      </c>
    </row>
    <row r="345">
      <c r="Q345" s="20" t="n"/>
      <c r="R345" s="20" t="n"/>
      <c r="S345" s="21" t="n"/>
      <c r="U345" s="21" t="n"/>
      <c r="V345" s="22" t="n"/>
      <c r="X345" s="23">
        <f>IF(OR($S345="",$R345=""),"",ROUND(MAX(0,IF($W345="Straight-line",IF(N($V345)&lt;=0,0,($S345-N($U345))*MIN($AJ345,$V345)/$V345),IF($W345="Reducing balance",MIN(($S345-N($U345)),$S345-$S345*(1-N($AG345))^INT($AJ345/12)*(1-N($AG345)*MOD($AJ345,12)/12)),IF($W345="DDB",IF(N($V345)&lt;=0,0,MIN(($S345-N($U345)),$S345-$S345*(1-MIN(1,24/$V345))^INT($AJ345/12)*(1-MIN(1,24/$V345)*MOD($AJ345,12)/12))),IF($W345="SYD",IF(N($V345)&lt;=0,0,($S345-N($U345))*(INT(MIN($AJ345,$V345)/12)*(2*($V345/12)-INT(MIN($AJ345,$V345)/12)+1)/2+MOD(MIN($AJ345,$V345),12)/12*(($V345/12)-INT(MIN($AJ345,$V345)/12)))/(($V345/12)*(($V345/12)+1)/2)),0))))),2))</f>
        <v/>
      </c>
      <c r="Y345" s="23">
        <f>IF($X345="","",$S345-$X345)</f>
        <v/>
      </c>
      <c r="AD345" s="20" t="n"/>
      <c r="AG345" s="24" t="n"/>
      <c r="AH345" s="20" t="n"/>
      <c r="AI345" s="21" t="n"/>
      <c r="AJ345" s="25">
        <f>IF($R345="","",IF($R345&gt;IF($AH345&lt;&gt;"",MIN($AH345,Settings!$B$3),Settings!$B$3),0,(YEAR(IF($AH345&lt;&gt;"",MIN($AH345,Settings!$B$3),Settings!$B$3))-YEAR($R345))*12+MONTH(IF($AH345&lt;&gt;"",MIN($AH345,Settings!$B$3),Settings!$B$3))-MONTH($R345)+1))</f>
        <v/>
      </c>
      <c r="AK345" s="25">
        <f>IF($R345="","",IF($R345&gt;MIN(Settings!$B$4-1,IF($AH345&lt;&gt;"",MIN($AH345,Settings!$B$3),Settings!$B$3)),0,(YEAR(MIN(Settings!$B$4-1,IF($AH345&lt;&gt;"",MIN($AH345,Settings!$B$3),Settings!$B$3)))-YEAR($R345))*12+MONTH(MIN(Settings!$B$4-1,IF($AH345&lt;&gt;"",MIN($AH345,Settings!$B$3),Settings!$B$3)))-MONTH($R345)+1))</f>
        <v/>
      </c>
      <c r="AL345" s="23">
        <f>IF(OR($S345="",$R345=""),"",ROUND(MAX(0,IF($W345="Straight-line",IF(N($V345)&lt;=0,0,($S345-N($U345))*MIN($AK345,$V345)/$V345),IF($W345="Reducing balance",MIN(($S345-N($U345)),$S345-$S345*(1-N($AG345))^INT($AK345/12)*(1-N($AG345)*MOD($AK345,12)/12)),IF($W345="DDB",IF(N($V345)&lt;=0,0,MIN(($S345-N($U345)),$S345-$S345*(1-MIN(1,24/$V345))^INT($AK345/12)*(1-MIN(1,24/$V345)*MOD($AK345,12)/12))),IF($W345="SYD",IF(N($V345)&lt;=0,0,($S345-N($U345))*(INT(MIN($AK345,$V345)/12)*(2*($V345/12)-INT(MIN($AK345,$V345)/12)+1)/2+MOD(MIN($AK345,$V345),12)/12*(($V345/12)-INT(MIN($AK345,$V345)/12)))/(($V345/12)*(($V345/12)+1)/2)),0))))),2))</f>
        <v/>
      </c>
      <c r="AM345" s="23">
        <f>IF($X345="","",$X345-$AL345)</f>
        <v/>
      </c>
      <c r="AN345" s="23">
        <f>IF(OR($AH345="",$Y345=""),"",N($AI345)-$Y345)</f>
        <v/>
      </c>
    </row>
    <row r="346">
      <c r="Q346" s="20" t="n"/>
      <c r="R346" s="20" t="n"/>
      <c r="S346" s="21" t="n"/>
      <c r="U346" s="21" t="n"/>
      <c r="V346" s="22" t="n"/>
      <c r="X346" s="23">
        <f>IF(OR($S346="",$R346=""),"",ROUND(MAX(0,IF($W346="Straight-line",IF(N($V346)&lt;=0,0,($S346-N($U346))*MIN($AJ346,$V346)/$V346),IF($W346="Reducing balance",MIN(($S346-N($U346)),$S346-$S346*(1-N($AG346))^INT($AJ346/12)*(1-N($AG346)*MOD($AJ346,12)/12)),IF($W346="DDB",IF(N($V346)&lt;=0,0,MIN(($S346-N($U346)),$S346-$S346*(1-MIN(1,24/$V346))^INT($AJ346/12)*(1-MIN(1,24/$V346)*MOD($AJ346,12)/12))),IF($W346="SYD",IF(N($V346)&lt;=0,0,($S346-N($U346))*(INT(MIN($AJ346,$V346)/12)*(2*($V346/12)-INT(MIN($AJ346,$V346)/12)+1)/2+MOD(MIN($AJ346,$V346),12)/12*(($V346/12)-INT(MIN($AJ346,$V346)/12)))/(($V346/12)*(($V346/12)+1)/2)),0))))),2))</f>
        <v/>
      </c>
      <c r="Y346" s="23">
        <f>IF($X346="","",$S346-$X346)</f>
        <v/>
      </c>
      <c r="AD346" s="20" t="n"/>
      <c r="AG346" s="24" t="n"/>
      <c r="AH346" s="20" t="n"/>
      <c r="AI346" s="21" t="n"/>
      <c r="AJ346" s="25">
        <f>IF($R346="","",IF($R346&gt;IF($AH346&lt;&gt;"",MIN($AH346,Settings!$B$3),Settings!$B$3),0,(YEAR(IF($AH346&lt;&gt;"",MIN($AH346,Settings!$B$3),Settings!$B$3))-YEAR($R346))*12+MONTH(IF($AH346&lt;&gt;"",MIN($AH346,Settings!$B$3),Settings!$B$3))-MONTH($R346)+1))</f>
        <v/>
      </c>
      <c r="AK346" s="25">
        <f>IF($R346="","",IF($R346&gt;MIN(Settings!$B$4-1,IF($AH346&lt;&gt;"",MIN($AH346,Settings!$B$3),Settings!$B$3)),0,(YEAR(MIN(Settings!$B$4-1,IF($AH346&lt;&gt;"",MIN($AH346,Settings!$B$3),Settings!$B$3)))-YEAR($R346))*12+MONTH(MIN(Settings!$B$4-1,IF($AH346&lt;&gt;"",MIN($AH346,Settings!$B$3),Settings!$B$3)))-MONTH($R346)+1))</f>
        <v/>
      </c>
      <c r="AL346" s="23">
        <f>IF(OR($S346="",$R346=""),"",ROUND(MAX(0,IF($W346="Straight-line",IF(N($V346)&lt;=0,0,($S346-N($U346))*MIN($AK346,$V346)/$V346),IF($W346="Reducing balance",MIN(($S346-N($U346)),$S346-$S346*(1-N($AG346))^INT($AK346/12)*(1-N($AG346)*MOD($AK346,12)/12)),IF($W346="DDB",IF(N($V346)&lt;=0,0,MIN(($S346-N($U346)),$S346-$S346*(1-MIN(1,24/$V346))^INT($AK346/12)*(1-MIN(1,24/$V346)*MOD($AK346,12)/12))),IF($W346="SYD",IF(N($V346)&lt;=0,0,($S346-N($U346))*(INT(MIN($AK346,$V346)/12)*(2*($V346/12)-INT(MIN($AK346,$V346)/12)+1)/2+MOD(MIN($AK346,$V346),12)/12*(($V346/12)-INT(MIN($AK346,$V346)/12)))/(($V346/12)*(($V346/12)+1)/2)),0))))),2))</f>
        <v/>
      </c>
      <c r="AM346" s="23">
        <f>IF($X346="","",$X346-$AL346)</f>
        <v/>
      </c>
      <c r="AN346" s="23">
        <f>IF(OR($AH346="",$Y346=""),"",N($AI346)-$Y346)</f>
        <v/>
      </c>
    </row>
    <row r="347">
      <c r="Q347" s="20" t="n"/>
      <c r="R347" s="20" t="n"/>
      <c r="S347" s="21" t="n"/>
      <c r="U347" s="21" t="n"/>
      <c r="V347" s="22" t="n"/>
      <c r="X347" s="23">
        <f>IF(OR($S347="",$R347=""),"",ROUND(MAX(0,IF($W347="Straight-line",IF(N($V347)&lt;=0,0,($S347-N($U347))*MIN($AJ347,$V347)/$V347),IF($W347="Reducing balance",MIN(($S347-N($U347)),$S347-$S347*(1-N($AG347))^INT($AJ347/12)*(1-N($AG347)*MOD($AJ347,12)/12)),IF($W347="DDB",IF(N($V347)&lt;=0,0,MIN(($S347-N($U347)),$S347-$S347*(1-MIN(1,24/$V347))^INT($AJ347/12)*(1-MIN(1,24/$V347)*MOD($AJ347,12)/12))),IF($W347="SYD",IF(N($V347)&lt;=0,0,($S347-N($U347))*(INT(MIN($AJ347,$V347)/12)*(2*($V347/12)-INT(MIN($AJ347,$V347)/12)+1)/2+MOD(MIN($AJ347,$V347),12)/12*(($V347/12)-INT(MIN($AJ347,$V347)/12)))/(($V347/12)*(($V347/12)+1)/2)),0))))),2))</f>
        <v/>
      </c>
      <c r="Y347" s="23">
        <f>IF($X347="","",$S347-$X347)</f>
        <v/>
      </c>
      <c r="AD347" s="20" t="n"/>
      <c r="AG347" s="24" t="n"/>
      <c r="AH347" s="20" t="n"/>
      <c r="AI347" s="21" t="n"/>
      <c r="AJ347" s="25">
        <f>IF($R347="","",IF($R347&gt;IF($AH347&lt;&gt;"",MIN($AH347,Settings!$B$3),Settings!$B$3),0,(YEAR(IF($AH347&lt;&gt;"",MIN($AH347,Settings!$B$3),Settings!$B$3))-YEAR($R347))*12+MONTH(IF($AH347&lt;&gt;"",MIN($AH347,Settings!$B$3),Settings!$B$3))-MONTH($R347)+1))</f>
        <v/>
      </c>
      <c r="AK347" s="25">
        <f>IF($R347="","",IF($R347&gt;MIN(Settings!$B$4-1,IF($AH347&lt;&gt;"",MIN($AH347,Settings!$B$3),Settings!$B$3)),0,(YEAR(MIN(Settings!$B$4-1,IF($AH347&lt;&gt;"",MIN($AH347,Settings!$B$3),Settings!$B$3)))-YEAR($R347))*12+MONTH(MIN(Settings!$B$4-1,IF($AH347&lt;&gt;"",MIN($AH347,Settings!$B$3),Settings!$B$3)))-MONTH($R347)+1))</f>
        <v/>
      </c>
      <c r="AL347" s="23">
        <f>IF(OR($S347="",$R347=""),"",ROUND(MAX(0,IF($W347="Straight-line",IF(N($V347)&lt;=0,0,($S347-N($U347))*MIN($AK347,$V347)/$V347),IF($W347="Reducing balance",MIN(($S347-N($U347)),$S347-$S347*(1-N($AG347))^INT($AK347/12)*(1-N($AG347)*MOD($AK347,12)/12)),IF($W347="DDB",IF(N($V347)&lt;=0,0,MIN(($S347-N($U347)),$S347-$S347*(1-MIN(1,24/$V347))^INT($AK347/12)*(1-MIN(1,24/$V347)*MOD($AK347,12)/12))),IF($W347="SYD",IF(N($V347)&lt;=0,0,($S347-N($U347))*(INT(MIN($AK347,$V347)/12)*(2*($V347/12)-INT(MIN($AK347,$V347)/12)+1)/2+MOD(MIN($AK347,$V347),12)/12*(($V347/12)-INT(MIN($AK347,$V347)/12)))/(($V347/12)*(($V347/12)+1)/2)),0))))),2))</f>
        <v/>
      </c>
      <c r="AM347" s="23">
        <f>IF($X347="","",$X347-$AL347)</f>
        <v/>
      </c>
      <c r="AN347" s="23">
        <f>IF(OR($AH347="",$Y347=""),"",N($AI347)-$Y347)</f>
        <v/>
      </c>
    </row>
    <row r="348">
      <c r="Q348" s="20" t="n"/>
      <c r="R348" s="20" t="n"/>
      <c r="S348" s="21" t="n"/>
      <c r="U348" s="21" t="n"/>
      <c r="V348" s="22" t="n"/>
      <c r="X348" s="23">
        <f>IF(OR($S348="",$R348=""),"",ROUND(MAX(0,IF($W348="Straight-line",IF(N($V348)&lt;=0,0,($S348-N($U348))*MIN($AJ348,$V348)/$V348),IF($W348="Reducing balance",MIN(($S348-N($U348)),$S348-$S348*(1-N($AG348))^INT($AJ348/12)*(1-N($AG348)*MOD($AJ348,12)/12)),IF($W348="DDB",IF(N($V348)&lt;=0,0,MIN(($S348-N($U348)),$S348-$S348*(1-MIN(1,24/$V348))^INT($AJ348/12)*(1-MIN(1,24/$V348)*MOD($AJ348,12)/12))),IF($W348="SYD",IF(N($V348)&lt;=0,0,($S348-N($U348))*(INT(MIN($AJ348,$V348)/12)*(2*($V348/12)-INT(MIN($AJ348,$V348)/12)+1)/2+MOD(MIN($AJ348,$V348),12)/12*(($V348/12)-INT(MIN($AJ348,$V348)/12)))/(($V348/12)*(($V348/12)+1)/2)),0))))),2))</f>
        <v/>
      </c>
      <c r="Y348" s="23">
        <f>IF($X348="","",$S348-$X348)</f>
        <v/>
      </c>
      <c r="AD348" s="20" t="n"/>
      <c r="AG348" s="24" t="n"/>
      <c r="AH348" s="20" t="n"/>
      <c r="AI348" s="21" t="n"/>
      <c r="AJ348" s="25">
        <f>IF($R348="","",IF($R348&gt;IF($AH348&lt;&gt;"",MIN($AH348,Settings!$B$3),Settings!$B$3),0,(YEAR(IF($AH348&lt;&gt;"",MIN($AH348,Settings!$B$3),Settings!$B$3))-YEAR($R348))*12+MONTH(IF($AH348&lt;&gt;"",MIN($AH348,Settings!$B$3),Settings!$B$3))-MONTH($R348)+1))</f>
        <v/>
      </c>
      <c r="AK348" s="25">
        <f>IF($R348="","",IF($R348&gt;MIN(Settings!$B$4-1,IF($AH348&lt;&gt;"",MIN($AH348,Settings!$B$3),Settings!$B$3)),0,(YEAR(MIN(Settings!$B$4-1,IF($AH348&lt;&gt;"",MIN($AH348,Settings!$B$3),Settings!$B$3)))-YEAR($R348))*12+MONTH(MIN(Settings!$B$4-1,IF($AH348&lt;&gt;"",MIN($AH348,Settings!$B$3),Settings!$B$3)))-MONTH($R348)+1))</f>
        <v/>
      </c>
      <c r="AL348" s="23">
        <f>IF(OR($S348="",$R348=""),"",ROUND(MAX(0,IF($W348="Straight-line",IF(N($V348)&lt;=0,0,($S348-N($U348))*MIN($AK348,$V348)/$V348),IF($W348="Reducing balance",MIN(($S348-N($U348)),$S348-$S348*(1-N($AG348))^INT($AK348/12)*(1-N($AG348)*MOD($AK348,12)/12)),IF($W348="DDB",IF(N($V348)&lt;=0,0,MIN(($S348-N($U348)),$S348-$S348*(1-MIN(1,24/$V348))^INT($AK348/12)*(1-MIN(1,24/$V348)*MOD($AK348,12)/12))),IF($W348="SYD",IF(N($V348)&lt;=0,0,($S348-N($U348))*(INT(MIN($AK348,$V348)/12)*(2*($V348/12)-INT(MIN($AK348,$V348)/12)+1)/2+MOD(MIN($AK348,$V348),12)/12*(($V348/12)-INT(MIN($AK348,$V348)/12)))/(($V348/12)*(($V348/12)+1)/2)),0))))),2))</f>
        <v/>
      </c>
      <c r="AM348" s="23">
        <f>IF($X348="","",$X348-$AL348)</f>
        <v/>
      </c>
      <c r="AN348" s="23">
        <f>IF(OR($AH348="",$Y348=""),"",N($AI348)-$Y348)</f>
        <v/>
      </c>
    </row>
    <row r="349">
      <c r="Q349" s="20" t="n"/>
      <c r="R349" s="20" t="n"/>
      <c r="S349" s="21" t="n"/>
      <c r="U349" s="21" t="n"/>
      <c r="V349" s="22" t="n"/>
      <c r="X349" s="23">
        <f>IF(OR($S349="",$R349=""),"",ROUND(MAX(0,IF($W349="Straight-line",IF(N($V349)&lt;=0,0,($S349-N($U349))*MIN($AJ349,$V349)/$V349),IF($W349="Reducing balance",MIN(($S349-N($U349)),$S349-$S349*(1-N($AG349))^INT($AJ349/12)*(1-N($AG349)*MOD($AJ349,12)/12)),IF($W349="DDB",IF(N($V349)&lt;=0,0,MIN(($S349-N($U349)),$S349-$S349*(1-MIN(1,24/$V349))^INT($AJ349/12)*(1-MIN(1,24/$V349)*MOD($AJ349,12)/12))),IF($W349="SYD",IF(N($V349)&lt;=0,0,($S349-N($U349))*(INT(MIN($AJ349,$V349)/12)*(2*($V349/12)-INT(MIN($AJ349,$V349)/12)+1)/2+MOD(MIN($AJ349,$V349),12)/12*(($V349/12)-INT(MIN($AJ349,$V349)/12)))/(($V349/12)*(($V349/12)+1)/2)),0))))),2))</f>
        <v/>
      </c>
      <c r="Y349" s="23">
        <f>IF($X349="","",$S349-$X349)</f>
        <v/>
      </c>
      <c r="AD349" s="20" t="n"/>
      <c r="AG349" s="24" t="n"/>
      <c r="AH349" s="20" t="n"/>
      <c r="AI349" s="21" t="n"/>
      <c r="AJ349" s="25">
        <f>IF($R349="","",IF($R349&gt;IF($AH349&lt;&gt;"",MIN($AH349,Settings!$B$3),Settings!$B$3),0,(YEAR(IF($AH349&lt;&gt;"",MIN($AH349,Settings!$B$3),Settings!$B$3))-YEAR($R349))*12+MONTH(IF($AH349&lt;&gt;"",MIN($AH349,Settings!$B$3),Settings!$B$3))-MONTH($R349)+1))</f>
        <v/>
      </c>
      <c r="AK349" s="25">
        <f>IF($R349="","",IF($R349&gt;MIN(Settings!$B$4-1,IF($AH349&lt;&gt;"",MIN($AH349,Settings!$B$3),Settings!$B$3)),0,(YEAR(MIN(Settings!$B$4-1,IF($AH349&lt;&gt;"",MIN($AH349,Settings!$B$3),Settings!$B$3)))-YEAR($R349))*12+MONTH(MIN(Settings!$B$4-1,IF($AH349&lt;&gt;"",MIN($AH349,Settings!$B$3),Settings!$B$3)))-MONTH($R349)+1))</f>
        <v/>
      </c>
      <c r="AL349" s="23">
        <f>IF(OR($S349="",$R349=""),"",ROUND(MAX(0,IF($W349="Straight-line",IF(N($V349)&lt;=0,0,($S349-N($U349))*MIN($AK349,$V349)/$V349),IF($W349="Reducing balance",MIN(($S349-N($U349)),$S349-$S349*(1-N($AG349))^INT($AK349/12)*(1-N($AG349)*MOD($AK349,12)/12)),IF($W349="DDB",IF(N($V349)&lt;=0,0,MIN(($S349-N($U349)),$S349-$S349*(1-MIN(1,24/$V349))^INT($AK349/12)*(1-MIN(1,24/$V349)*MOD($AK349,12)/12))),IF($W349="SYD",IF(N($V349)&lt;=0,0,($S349-N($U349))*(INT(MIN($AK349,$V349)/12)*(2*($V349/12)-INT(MIN($AK349,$V349)/12)+1)/2+MOD(MIN($AK349,$V349),12)/12*(($V349/12)-INT(MIN($AK349,$V349)/12)))/(($V349/12)*(($V349/12)+1)/2)),0))))),2))</f>
        <v/>
      </c>
      <c r="AM349" s="23">
        <f>IF($X349="","",$X349-$AL349)</f>
        <v/>
      </c>
      <c r="AN349" s="23">
        <f>IF(OR($AH349="",$Y349=""),"",N($AI349)-$Y349)</f>
        <v/>
      </c>
    </row>
    <row r="350">
      <c r="Q350" s="20" t="n"/>
      <c r="R350" s="20" t="n"/>
      <c r="S350" s="21" t="n"/>
      <c r="U350" s="21" t="n"/>
      <c r="V350" s="22" t="n"/>
      <c r="X350" s="23">
        <f>IF(OR($S350="",$R350=""),"",ROUND(MAX(0,IF($W350="Straight-line",IF(N($V350)&lt;=0,0,($S350-N($U350))*MIN($AJ350,$V350)/$V350),IF($W350="Reducing balance",MIN(($S350-N($U350)),$S350-$S350*(1-N($AG350))^INT($AJ350/12)*(1-N($AG350)*MOD($AJ350,12)/12)),IF($W350="DDB",IF(N($V350)&lt;=0,0,MIN(($S350-N($U350)),$S350-$S350*(1-MIN(1,24/$V350))^INT($AJ350/12)*(1-MIN(1,24/$V350)*MOD($AJ350,12)/12))),IF($W350="SYD",IF(N($V350)&lt;=0,0,($S350-N($U350))*(INT(MIN($AJ350,$V350)/12)*(2*($V350/12)-INT(MIN($AJ350,$V350)/12)+1)/2+MOD(MIN($AJ350,$V350),12)/12*(($V350/12)-INT(MIN($AJ350,$V350)/12)))/(($V350/12)*(($V350/12)+1)/2)),0))))),2))</f>
        <v/>
      </c>
      <c r="Y350" s="23">
        <f>IF($X350="","",$S350-$X350)</f>
        <v/>
      </c>
      <c r="AD350" s="20" t="n"/>
      <c r="AG350" s="24" t="n"/>
      <c r="AH350" s="20" t="n"/>
      <c r="AI350" s="21" t="n"/>
      <c r="AJ350" s="25">
        <f>IF($R350="","",IF($R350&gt;IF($AH350&lt;&gt;"",MIN($AH350,Settings!$B$3),Settings!$B$3),0,(YEAR(IF($AH350&lt;&gt;"",MIN($AH350,Settings!$B$3),Settings!$B$3))-YEAR($R350))*12+MONTH(IF($AH350&lt;&gt;"",MIN($AH350,Settings!$B$3),Settings!$B$3))-MONTH($R350)+1))</f>
        <v/>
      </c>
      <c r="AK350" s="25">
        <f>IF($R350="","",IF($R350&gt;MIN(Settings!$B$4-1,IF($AH350&lt;&gt;"",MIN($AH350,Settings!$B$3),Settings!$B$3)),0,(YEAR(MIN(Settings!$B$4-1,IF($AH350&lt;&gt;"",MIN($AH350,Settings!$B$3),Settings!$B$3)))-YEAR($R350))*12+MONTH(MIN(Settings!$B$4-1,IF($AH350&lt;&gt;"",MIN($AH350,Settings!$B$3),Settings!$B$3)))-MONTH($R350)+1))</f>
        <v/>
      </c>
      <c r="AL350" s="23">
        <f>IF(OR($S350="",$R350=""),"",ROUND(MAX(0,IF($W350="Straight-line",IF(N($V350)&lt;=0,0,($S350-N($U350))*MIN($AK350,$V350)/$V350),IF($W350="Reducing balance",MIN(($S350-N($U350)),$S350-$S350*(1-N($AG350))^INT($AK350/12)*(1-N($AG350)*MOD($AK350,12)/12)),IF($W350="DDB",IF(N($V350)&lt;=0,0,MIN(($S350-N($U350)),$S350-$S350*(1-MIN(1,24/$V350))^INT($AK350/12)*(1-MIN(1,24/$V350)*MOD($AK350,12)/12))),IF($W350="SYD",IF(N($V350)&lt;=0,0,($S350-N($U350))*(INT(MIN($AK350,$V350)/12)*(2*($V350/12)-INT(MIN($AK350,$V350)/12)+1)/2+MOD(MIN($AK350,$V350),12)/12*(($V350/12)-INT(MIN($AK350,$V350)/12)))/(($V350/12)*(($V350/12)+1)/2)),0))))),2))</f>
        <v/>
      </c>
      <c r="AM350" s="23">
        <f>IF($X350="","",$X350-$AL350)</f>
        <v/>
      </c>
      <c r="AN350" s="23">
        <f>IF(OR($AH350="",$Y350=""),"",N($AI350)-$Y350)</f>
        <v/>
      </c>
    </row>
    <row r="351">
      <c r="Q351" s="20" t="n"/>
      <c r="R351" s="20" t="n"/>
      <c r="S351" s="21" t="n"/>
      <c r="U351" s="21" t="n"/>
      <c r="V351" s="22" t="n"/>
      <c r="X351" s="23">
        <f>IF(OR($S351="",$R351=""),"",ROUND(MAX(0,IF($W351="Straight-line",IF(N($V351)&lt;=0,0,($S351-N($U351))*MIN($AJ351,$V351)/$V351),IF($W351="Reducing balance",MIN(($S351-N($U351)),$S351-$S351*(1-N($AG351))^INT($AJ351/12)*(1-N($AG351)*MOD($AJ351,12)/12)),IF($W351="DDB",IF(N($V351)&lt;=0,0,MIN(($S351-N($U351)),$S351-$S351*(1-MIN(1,24/$V351))^INT($AJ351/12)*(1-MIN(1,24/$V351)*MOD($AJ351,12)/12))),IF($W351="SYD",IF(N($V351)&lt;=0,0,($S351-N($U351))*(INT(MIN($AJ351,$V351)/12)*(2*($V351/12)-INT(MIN($AJ351,$V351)/12)+1)/2+MOD(MIN($AJ351,$V351),12)/12*(($V351/12)-INT(MIN($AJ351,$V351)/12)))/(($V351/12)*(($V351/12)+1)/2)),0))))),2))</f>
        <v/>
      </c>
      <c r="Y351" s="23">
        <f>IF($X351="","",$S351-$X351)</f>
        <v/>
      </c>
      <c r="AD351" s="20" t="n"/>
      <c r="AG351" s="24" t="n"/>
      <c r="AH351" s="20" t="n"/>
      <c r="AI351" s="21" t="n"/>
      <c r="AJ351" s="25">
        <f>IF($R351="","",IF($R351&gt;IF($AH351&lt;&gt;"",MIN($AH351,Settings!$B$3),Settings!$B$3),0,(YEAR(IF($AH351&lt;&gt;"",MIN($AH351,Settings!$B$3),Settings!$B$3))-YEAR($R351))*12+MONTH(IF($AH351&lt;&gt;"",MIN($AH351,Settings!$B$3),Settings!$B$3))-MONTH($R351)+1))</f>
        <v/>
      </c>
      <c r="AK351" s="25">
        <f>IF($R351="","",IF($R351&gt;MIN(Settings!$B$4-1,IF($AH351&lt;&gt;"",MIN($AH351,Settings!$B$3),Settings!$B$3)),0,(YEAR(MIN(Settings!$B$4-1,IF($AH351&lt;&gt;"",MIN($AH351,Settings!$B$3),Settings!$B$3)))-YEAR($R351))*12+MONTH(MIN(Settings!$B$4-1,IF($AH351&lt;&gt;"",MIN($AH351,Settings!$B$3),Settings!$B$3)))-MONTH($R351)+1))</f>
        <v/>
      </c>
      <c r="AL351" s="23">
        <f>IF(OR($S351="",$R351=""),"",ROUND(MAX(0,IF($W351="Straight-line",IF(N($V351)&lt;=0,0,($S351-N($U351))*MIN($AK351,$V351)/$V351),IF($W351="Reducing balance",MIN(($S351-N($U351)),$S351-$S351*(1-N($AG351))^INT($AK351/12)*(1-N($AG351)*MOD($AK351,12)/12)),IF($W351="DDB",IF(N($V351)&lt;=0,0,MIN(($S351-N($U351)),$S351-$S351*(1-MIN(1,24/$V351))^INT($AK351/12)*(1-MIN(1,24/$V351)*MOD($AK351,12)/12))),IF($W351="SYD",IF(N($V351)&lt;=0,0,($S351-N($U351))*(INT(MIN($AK351,$V351)/12)*(2*($V351/12)-INT(MIN($AK351,$V351)/12)+1)/2+MOD(MIN($AK351,$V351),12)/12*(($V351/12)-INT(MIN($AK351,$V351)/12)))/(($V351/12)*(($V351/12)+1)/2)),0))))),2))</f>
        <v/>
      </c>
      <c r="AM351" s="23">
        <f>IF($X351="","",$X351-$AL351)</f>
        <v/>
      </c>
      <c r="AN351" s="23">
        <f>IF(OR($AH351="",$Y351=""),"",N($AI351)-$Y351)</f>
        <v/>
      </c>
    </row>
    <row r="352">
      <c r="Q352" s="20" t="n"/>
      <c r="R352" s="20" t="n"/>
      <c r="S352" s="21" t="n"/>
      <c r="U352" s="21" t="n"/>
      <c r="V352" s="22" t="n"/>
      <c r="X352" s="23">
        <f>IF(OR($S352="",$R352=""),"",ROUND(MAX(0,IF($W352="Straight-line",IF(N($V352)&lt;=0,0,($S352-N($U352))*MIN($AJ352,$V352)/$V352),IF($W352="Reducing balance",MIN(($S352-N($U352)),$S352-$S352*(1-N($AG352))^INT($AJ352/12)*(1-N($AG352)*MOD($AJ352,12)/12)),IF($W352="DDB",IF(N($V352)&lt;=0,0,MIN(($S352-N($U352)),$S352-$S352*(1-MIN(1,24/$V352))^INT($AJ352/12)*(1-MIN(1,24/$V352)*MOD($AJ352,12)/12))),IF($W352="SYD",IF(N($V352)&lt;=0,0,($S352-N($U352))*(INT(MIN($AJ352,$V352)/12)*(2*($V352/12)-INT(MIN($AJ352,$V352)/12)+1)/2+MOD(MIN($AJ352,$V352),12)/12*(($V352/12)-INT(MIN($AJ352,$V352)/12)))/(($V352/12)*(($V352/12)+1)/2)),0))))),2))</f>
        <v/>
      </c>
      <c r="Y352" s="23">
        <f>IF($X352="","",$S352-$X352)</f>
        <v/>
      </c>
      <c r="AD352" s="20" t="n"/>
      <c r="AG352" s="24" t="n"/>
      <c r="AH352" s="20" t="n"/>
      <c r="AI352" s="21" t="n"/>
      <c r="AJ352" s="25">
        <f>IF($R352="","",IF($R352&gt;IF($AH352&lt;&gt;"",MIN($AH352,Settings!$B$3),Settings!$B$3),0,(YEAR(IF($AH352&lt;&gt;"",MIN($AH352,Settings!$B$3),Settings!$B$3))-YEAR($R352))*12+MONTH(IF($AH352&lt;&gt;"",MIN($AH352,Settings!$B$3),Settings!$B$3))-MONTH($R352)+1))</f>
        <v/>
      </c>
      <c r="AK352" s="25">
        <f>IF($R352="","",IF($R352&gt;MIN(Settings!$B$4-1,IF($AH352&lt;&gt;"",MIN($AH352,Settings!$B$3),Settings!$B$3)),0,(YEAR(MIN(Settings!$B$4-1,IF($AH352&lt;&gt;"",MIN($AH352,Settings!$B$3),Settings!$B$3)))-YEAR($R352))*12+MONTH(MIN(Settings!$B$4-1,IF($AH352&lt;&gt;"",MIN($AH352,Settings!$B$3),Settings!$B$3)))-MONTH($R352)+1))</f>
        <v/>
      </c>
      <c r="AL352" s="23">
        <f>IF(OR($S352="",$R352=""),"",ROUND(MAX(0,IF($W352="Straight-line",IF(N($V352)&lt;=0,0,($S352-N($U352))*MIN($AK352,$V352)/$V352),IF($W352="Reducing balance",MIN(($S352-N($U352)),$S352-$S352*(1-N($AG352))^INT($AK352/12)*(1-N($AG352)*MOD($AK352,12)/12)),IF($W352="DDB",IF(N($V352)&lt;=0,0,MIN(($S352-N($U352)),$S352-$S352*(1-MIN(1,24/$V352))^INT($AK352/12)*(1-MIN(1,24/$V352)*MOD($AK352,12)/12))),IF($W352="SYD",IF(N($V352)&lt;=0,0,($S352-N($U352))*(INT(MIN($AK352,$V352)/12)*(2*($V352/12)-INT(MIN($AK352,$V352)/12)+1)/2+MOD(MIN($AK352,$V352),12)/12*(($V352/12)-INT(MIN($AK352,$V352)/12)))/(($V352/12)*(($V352/12)+1)/2)),0))))),2))</f>
        <v/>
      </c>
      <c r="AM352" s="23">
        <f>IF($X352="","",$X352-$AL352)</f>
        <v/>
      </c>
      <c r="AN352" s="23">
        <f>IF(OR($AH352="",$Y352=""),"",N($AI352)-$Y352)</f>
        <v/>
      </c>
    </row>
    <row r="353">
      <c r="Q353" s="20" t="n"/>
      <c r="R353" s="20" t="n"/>
      <c r="S353" s="21" t="n"/>
      <c r="U353" s="21" t="n"/>
      <c r="V353" s="22" t="n"/>
      <c r="X353" s="23">
        <f>IF(OR($S353="",$R353=""),"",ROUND(MAX(0,IF($W353="Straight-line",IF(N($V353)&lt;=0,0,($S353-N($U353))*MIN($AJ353,$V353)/$V353),IF($W353="Reducing balance",MIN(($S353-N($U353)),$S353-$S353*(1-N($AG353))^INT($AJ353/12)*(1-N($AG353)*MOD($AJ353,12)/12)),IF($W353="DDB",IF(N($V353)&lt;=0,0,MIN(($S353-N($U353)),$S353-$S353*(1-MIN(1,24/$V353))^INT($AJ353/12)*(1-MIN(1,24/$V353)*MOD($AJ353,12)/12))),IF($W353="SYD",IF(N($V353)&lt;=0,0,($S353-N($U353))*(INT(MIN($AJ353,$V353)/12)*(2*($V353/12)-INT(MIN($AJ353,$V353)/12)+1)/2+MOD(MIN($AJ353,$V353),12)/12*(($V353/12)-INT(MIN($AJ353,$V353)/12)))/(($V353/12)*(($V353/12)+1)/2)),0))))),2))</f>
        <v/>
      </c>
      <c r="Y353" s="23">
        <f>IF($X353="","",$S353-$X353)</f>
        <v/>
      </c>
      <c r="AD353" s="20" t="n"/>
      <c r="AG353" s="24" t="n"/>
      <c r="AH353" s="20" t="n"/>
      <c r="AI353" s="21" t="n"/>
      <c r="AJ353" s="25">
        <f>IF($R353="","",IF($R353&gt;IF($AH353&lt;&gt;"",MIN($AH353,Settings!$B$3),Settings!$B$3),0,(YEAR(IF($AH353&lt;&gt;"",MIN($AH353,Settings!$B$3),Settings!$B$3))-YEAR($R353))*12+MONTH(IF($AH353&lt;&gt;"",MIN($AH353,Settings!$B$3),Settings!$B$3))-MONTH($R353)+1))</f>
        <v/>
      </c>
      <c r="AK353" s="25">
        <f>IF($R353="","",IF($R353&gt;MIN(Settings!$B$4-1,IF($AH353&lt;&gt;"",MIN($AH353,Settings!$B$3),Settings!$B$3)),0,(YEAR(MIN(Settings!$B$4-1,IF($AH353&lt;&gt;"",MIN($AH353,Settings!$B$3),Settings!$B$3)))-YEAR($R353))*12+MONTH(MIN(Settings!$B$4-1,IF($AH353&lt;&gt;"",MIN($AH353,Settings!$B$3),Settings!$B$3)))-MONTH($R353)+1))</f>
        <v/>
      </c>
      <c r="AL353" s="23">
        <f>IF(OR($S353="",$R353=""),"",ROUND(MAX(0,IF($W353="Straight-line",IF(N($V353)&lt;=0,0,($S353-N($U353))*MIN($AK353,$V353)/$V353),IF($W353="Reducing balance",MIN(($S353-N($U353)),$S353-$S353*(1-N($AG353))^INT($AK353/12)*(1-N($AG353)*MOD($AK353,12)/12)),IF($W353="DDB",IF(N($V353)&lt;=0,0,MIN(($S353-N($U353)),$S353-$S353*(1-MIN(1,24/$V353))^INT($AK353/12)*(1-MIN(1,24/$V353)*MOD($AK353,12)/12))),IF($W353="SYD",IF(N($V353)&lt;=0,0,($S353-N($U353))*(INT(MIN($AK353,$V353)/12)*(2*($V353/12)-INT(MIN($AK353,$V353)/12)+1)/2+MOD(MIN($AK353,$V353),12)/12*(($V353/12)-INT(MIN($AK353,$V353)/12)))/(($V353/12)*(($V353/12)+1)/2)),0))))),2))</f>
        <v/>
      </c>
      <c r="AM353" s="23">
        <f>IF($X353="","",$X353-$AL353)</f>
        <v/>
      </c>
      <c r="AN353" s="23">
        <f>IF(OR($AH353="",$Y353=""),"",N($AI353)-$Y353)</f>
        <v/>
      </c>
    </row>
    <row r="354">
      <c r="Q354" s="20" t="n"/>
      <c r="R354" s="20" t="n"/>
      <c r="S354" s="21" t="n"/>
      <c r="U354" s="21" t="n"/>
      <c r="V354" s="22" t="n"/>
      <c r="X354" s="23">
        <f>IF(OR($S354="",$R354=""),"",ROUND(MAX(0,IF($W354="Straight-line",IF(N($V354)&lt;=0,0,($S354-N($U354))*MIN($AJ354,$V354)/$V354),IF($W354="Reducing balance",MIN(($S354-N($U354)),$S354-$S354*(1-N($AG354))^INT($AJ354/12)*(1-N($AG354)*MOD($AJ354,12)/12)),IF($W354="DDB",IF(N($V354)&lt;=0,0,MIN(($S354-N($U354)),$S354-$S354*(1-MIN(1,24/$V354))^INT($AJ354/12)*(1-MIN(1,24/$V354)*MOD($AJ354,12)/12))),IF($W354="SYD",IF(N($V354)&lt;=0,0,($S354-N($U354))*(INT(MIN($AJ354,$V354)/12)*(2*($V354/12)-INT(MIN($AJ354,$V354)/12)+1)/2+MOD(MIN($AJ354,$V354),12)/12*(($V354/12)-INT(MIN($AJ354,$V354)/12)))/(($V354/12)*(($V354/12)+1)/2)),0))))),2))</f>
        <v/>
      </c>
      <c r="Y354" s="23">
        <f>IF($X354="","",$S354-$X354)</f>
        <v/>
      </c>
      <c r="AD354" s="20" t="n"/>
      <c r="AG354" s="24" t="n"/>
      <c r="AH354" s="20" t="n"/>
      <c r="AI354" s="21" t="n"/>
      <c r="AJ354" s="25">
        <f>IF($R354="","",IF($R354&gt;IF($AH354&lt;&gt;"",MIN($AH354,Settings!$B$3),Settings!$B$3),0,(YEAR(IF($AH354&lt;&gt;"",MIN($AH354,Settings!$B$3),Settings!$B$3))-YEAR($R354))*12+MONTH(IF($AH354&lt;&gt;"",MIN($AH354,Settings!$B$3),Settings!$B$3))-MONTH($R354)+1))</f>
        <v/>
      </c>
      <c r="AK354" s="25">
        <f>IF($R354="","",IF($R354&gt;MIN(Settings!$B$4-1,IF($AH354&lt;&gt;"",MIN($AH354,Settings!$B$3),Settings!$B$3)),0,(YEAR(MIN(Settings!$B$4-1,IF($AH354&lt;&gt;"",MIN($AH354,Settings!$B$3),Settings!$B$3)))-YEAR($R354))*12+MONTH(MIN(Settings!$B$4-1,IF($AH354&lt;&gt;"",MIN($AH354,Settings!$B$3),Settings!$B$3)))-MONTH($R354)+1))</f>
        <v/>
      </c>
      <c r="AL354" s="23">
        <f>IF(OR($S354="",$R354=""),"",ROUND(MAX(0,IF($W354="Straight-line",IF(N($V354)&lt;=0,0,($S354-N($U354))*MIN($AK354,$V354)/$V354),IF($W354="Reducing balance",MIN(($S354-N($U354)),$S354-$S354*(1-N($AG354))^INT($AK354/12)*(1-N($AG354)*MOD($AK354,12)/12)),IF($W354="DDB",IF(N($V354)&lt;=0,0,MIN(($S354-N($U354)),$S354-$S354*(1-MIN(1,24/$V354))^INT($AK354/12)*(1-MIN(1,24/$V354)*MOD($AK354,12)/12))),IF($W354="SYD",IF(N($V354)&lt;=0,0,($S354-N($U354))*(INT(MIN($AK354,$V354)/12)*(2*($V354/12)-INT(MIN($AK354,$V354)/12)+1)/2+MOD(MIN($AK354,$V354),12)/12*(($V354/12)-INT(MIN($AK354,$V354)/12)))/(($V354/12)*(($V354/12)+1)/2)),0))))),2))</f>
        <v/>
      </c>
      <c r="AM354" s="23">
        <f>IF($X354="","",$X354-$AL354)</f>
        <v/>
      </c>
      <c r="AN354" s="23">
        <f>IF(OR($AH354="",$Y354=""),"",N($AI354)-$Y354)</f>
        <v/>
      </c>
    </row>
    <row r="355">
      <c r="Q355" s="20" t="n"/>
      <c r="R355" s="20" t="n"/>
      <c r="S355" s="21" t="n"/>
      <c r="U355" s="21" t="n"/>
      <c r="V355" s="22" t="n"/>
      <c r="X355" s="23">
        <f>IF(OR($S355="",$R355=""),"",ROUND(MAX(0,IF($W355="Straight-line",IF(N($V355)&lt;=0,0,($S355-N($U355))*MIN($AJ355,$V355)/$V355),IF($W355="Reducing balance",MIN(($S355-N($U355)),$S355-$S355*(1-N($AG355))^INT($AJ355/12)*(1-N($AG355)*MOD($AJ355,12)/12)),IF($W355="DDB",IF(N($V355)&lt;=0,0,MIN(($S355-N($U355)),$S355-$S355*(1-MIN(1,24/$V355))^INT($AJ355/12)*(1-MIN(1,24/$V355)*MOD($AJ355,12)/12))),IF($W355="SYD",IF(N($V355)&lt;=0,0,($S355-N($U355))*(INT(MIN($AJ355,$V355)/12)*(2*($V355/12)-INT(MIN($AJ355,$V355)/12)+1)/2+MOD(MIN($AJ355,$V355),12)/12*(($V355/12)-INT(MIN($AJ355,$V355)/12)))/(($V355/12)*(($V355/12)+1)/2)),0))))),2))</f>
        <v/>
      </c>
      <c r="Y355" s="23">
        <f>IF($X355="","",$S355-$X355)</f>
        <v/>
      </c>
      <c r="AD355" s="20" t="n"/>
      <c r="AG355" s="24" t="n"/>
      <c r="AH355" s="20" t="n"/>
      <c r="AI355" s="21" t="n"/>
      <c r="AJ355" s="25">
        <f>IF($R355="","",IF($R355&gt;IF($AH355&lt;&gt;"",MIN($AH355,Settings!$B$3),Settings!$B$3),0,(YEAR(IF($AH355&lt;&gt;"",MIN($AH355,Settings!$B$3),Settings!$B$3))-YEAR($R355))*12+MONTH(IF($AH355&lt;&gt;"",MIN($AH355,Settings!$B$3),Settings!$B$3))-MONTH($R355)+1))</f>
        <v/>
      </c>
      <c r="AK355" s="25">
        <f>IF($R355="","",IF($R355&gt;MIN(Settings!$B$4-1,IF($AH355&lt;&gt;"",MIN($AH355,Settings!$B$3),Settings!$B$3)),0,(YEAR(MIN(Settings!$B$4-1,IF($AH355&lt;&gt;"",MIN($AH355,Settings!$B$3),Settings!$B$3)))-YEAR($R355))*12+MONTH(MIN(Settings!$B$4-1,IF($AH355&lt;&gt;"",MIN($AH355,Settings!$B$3),Settings!$B$3)))-MONTH($R355)+1))</f>
        <v/>
      </c>
      <c r="AL355" s="23">
        <f>IF(OR($S355="",$R355=""),"",ROUND(MAX(0,IF($W355="Straight-line",IF(N($V355)&lt;=0,0,($S355-N($U355))*MIN($AK355,$V355)/$V355),IF($W355="Reducing balance",MIN(($S355-N($U355)),$S355-$S355*(1-N($AG355))^INT($AK355/12)*(1-N($AG355)*MOD($AK355,12)/12)),IF($W355="DDB",IF(N($V355)&lt;=0,0,MIN(($S355-N($U355)),$S355-$S355*(1-MIN(1,24/$V355))^INT($AK355/12)*(1-MIN(1,24/$V355)*MOD($AK355,12)/12))),IF($W355="SYD",IF(N($V355)&lt;=0,0,($S355-N($U355))*(INT(MIN($AK355,$V355)/12)*(2*($V355/12)-INT(MIN($AK355,$V355)/12)+1)/2+MOD(MIN($AK355,$V355),12)/12*(($V355/12)-INT(MIN($AK355,$V355)/12)))/(($V355/12)*(($V355/12)+1)/2)),0))))),2))</f>
        <v/>
      </c>
      <c r="AM355" s="23">
        <f>IF($X355="","",$X355-$AL355)</f>
        <v/>
      </c>
      <c r="AN355" s="23">
        <f>IF(OR($AH355="",$Y355=""),"",N($AI355)-$Y355)</f>
        <v/>
      </c>
    </row>
    <row r="356">
      <c r="Q356" s="20" t="n"/>
      <c r="R356" s="20" t="n"/>
      <c r="S356" s="21" t="n"/>
      <c r="U356" s="21" t="n"/>
      <c r="V356" s="22" t="n"/>
      <c r="X356" s="23">
        <f>IF(OR($S356="",$R356=""),"",ROUND(MAX(0,IF($W356="Straight-line",IF(N($V356)&lt;=0,0,($S356-N($U356))*MIN($AJ356,$V356)/$V356),IF($W356="Reducing balance",MIN(($S356-N($U356)),$S356-$S356*(1-N($AG356))^INT($AJ356/12)*(1-N($AG356)*MOD($AJ356,12)/12)),IF($W356="DDB",IF(N($V356)&lt;=0,0,MIN(($S356-N($U356)),$S356-$S356*(1-MIN(1,24/$V356))^INT($AJ356/12)*(1-MIN(1,24/$V356)*MOD($AJ356,12)/12))),IF($W356="SYD",IF(N($V356)&lt;=0,0,($S356-N($U356))*(INT(MIN($AJ356,$V356)/12)*(2*($V356/12)-INT(MIN($AJ356,$V356)/12)+1)/2+MOD(MIN($AJ356,$V356),12)/12*(($V356/12)-INT(MIN($AJ356,$V356)/12)))/(($V356/12)*(($V356/12)+1)/2)),0))))),2))</f>
        <v/>
      </c>
      <c r="Y356" s="23">
        <f>IF($X356="","",$S356-$X356)</f>
        <v/>
      </c>
      <c r="AD356" s="20" t="n"/>
      <c r="AG356" s="24" t="n"/>
      <c r="AH356" s="20" t="n"/>
      <c r="AI356" s="21" t="n"/>
      <c r="AJ356" s="25">
        <f>IF($R356="","",IF($R356&gt;IF($AH356&lt;&gt;"",MIN($AH356,Settings!$B$3),Settings!$B$3),0,(YEAR(IF($AH356&lt;&gt;"",MIN($AH356,Settings!$B$3),Settings!$B$3))-YEAR($R356))*12+MONTH(IF($AH356&lt;&gt;"",MIN($AH356,Settings!$B$3),Settings!$B$3))-MONTH($R356)+1))</f>
        <v/>
      </c>
      <c r="AK356" s="25">
        <f>IF($R356="","",IF($R356&gt;MIN(Settings!$B$4-1,IF($AH356&lt;&gt;"",MIN($AH356,Settings!$B$3),Settings!$B$3)),0,(YEAR(MIN(Settings!$B$4-1,IF($AH356&lt;&gt;"",MIN($AH356,Settings!$B$3),Settings!$B$3)))-YEAR($R356))*12+MONTH(MIN(Settings!$B$4-1,IF($AH356&lt;&gt;"",MIN($AH356,Settings!$B$3),Settings!$B$3)))-MONTH($R356)+1))</f>
        <v/>
      </c>
      <c r="AL356" s="23">
        <f>IF(OR($S356="",$R356=""),"",ROUND(MAX(0,IF($W356="Straight-line",IF(N($V356)&lt;=0,0,($S356-N($U356))*MIN($AK356,$V356)/$V356),IF($W356="Reducing balance",MIN(($S356-N($U356)),$S356-$S356*(1-N($AG356))^INT($AK356/12)*(1-N($AG356)*MOD($AK356,12)/12)),IF($W356="DDB",IF(N($V356)&lt;=0,0,MIN(($S356-N($U356)),$S356-$S356*(1-MIN(1,24/$V356))^INT($AK356/12)*(1-MIN(1,24/$V356)*MOD($AK356,12)/12))),IF($W356="SYD",IF(N($V356)&lt;=0,0,($S356-N($U356))*(INT(MIN($AK356,$V356)/12)*(2*($V356/12)-INT(MIN($AK356,$V356)/12)+1)/2+MOD(MIN($AK356,$V356),12)/12*(($V356/12)-INT(MIN($AK356,$V356)/12)))/(($V356/12)*(($V356/12)+1)/2)),0))))),2))</f>
        <v/>
      </c>
      <c r="AM356" s="23">
        <f>IF($X356="","",$X356-$AL356)</f>
        <v/>
      </c>
      <c r="AN356" s="23">
        <f>IF(OR($AH356="",$Y356=""),"",N($AI356)-$Y356)</f>
        <v/>
      </c>
    </row>
    <row r="357">
      <c r="Q357" s="20" t="n"/>
      <c r="R357" s="20" t="n"/>
      <c r="S357" s="21" t="n"/>
      <c r="U357" s="21" t="n"/>
      <c r="V357" s="22" t="n"/>
      <c r="X357" s="23">
        <f>IF(OR($S357="",$R357=""),"",ROUND(MAX(0,IF($W357="Straight-line",IF(N($V357)&lt;=0,0,($S357-N($U357))*MIN($AJ357,$V357)/$V357),IF($W357="Reducing balance",MIN(($S357-N($U357)),$S357-$S357*(1-N($AG357))^INT($AJ357/12)*(1-N($AG357)*MOD($AJ357,12)/12)),IF($W357="DDB",IF(N($V357)&lt;=0,0,MIN(($S357-N($U357)),$S357-$S357*(1-MIN(1,24/$V357))^INT($AJ357/12)*(1-MIN(1,24/$V357)*MOD($AJ357,12)/12))),IF($W357="SYD",IF(N($V357)&lt;=0,0,($S357-N($U357))*(INT(MIN($AJ357,$V357)/12)*(2*($V357/12)-INT(MIN($AJ357,$V357)/12)+1)/2+MOD(MIN($AJ357,$V357),12)/12*(($V357/12)-INT(MIN($AJ357,$V357)/12)))/(($V357/12)*(($V357/12)+1)/2)),0))))),2))</f>
        <v/>
      </c>
      <c r="Y357" s="23">
        <f>IF($X357="","",$S357-$X357)</f>
        <v/>
      </c>
      <c r="AD357" s="20" t="n"/>
      <c r="AG357" s="24" t="n"/>
      <c r="AH357" s="20" t="n"/>
      <c r="AI357" s="21" t="n"/>
      <c r="AJ357" s="25">
        <f>IF($R357="","",IF($R357&gt;IF($AH357&lt;&gt;"",MIN($AH357,Settings!$B$3),Settings!$B$3),0,(YEAR(IF($AH357&lt;&gt;"",MIN($AH357,Settings!$B$3),Settings!$B$3))-YEAR($R357))*12+MONTH(IF($AH357&lt;&gt;"",MIN($AH357,Settings!$B$3),Settings!$B$3))-MONTH($R357)+1))</f>
        <v/>
      </c>
      <c r="AK357" s="25">
        <f>IF($R357="","",IF($R357&gt;MIN(Settings!$B$4-1,IF($AH357&lt;&gt;"",MIN($AH357,Settings!$B$3),Settings!$B$3)),0,(YEAR(MIN(Settings!$B$4-1,IF($AH357&lt;&gt;"",MIN($AH357,Settings!$B$3),Settings!$B$3)))-YEAR($R357))*12+MONTH(MIN(Settings!$B$4-1,IF($AH357&lt;&gt;"",MIN($AH357,Settings!$B$3),Settings!$B$3)))-MONTH($R357)+1))</f>
        <v/>
      </c>
      <c r="AL357" s="23">
        <f>IF(OR($S357="",$R357=""),"",ROUND(MAX(0,IF($W357="Straight-line",IF(N($V357)&lt;=0,0,($S357-N($U357))*MIN($AK357,$V357)/$V357),IF($W357="Reducing balance",MIN(($S357-N($U357)),$S357-$S357*(1-N($AG357))^INT($AK357/12)*(1-N($AG357)*MOD($AK357,12)/12)),IF($W357="DDB",IF(N($V357)&lt;=0,0,MIN(($S357-N($U357)),$S357-$S357*(1-MIN(1,24/$V357))^INT($AK357/12)*(1-MIN(1,24/$V357)*MOD($AK357,12)/12))),IF($W357="SYD",IF(N($V357)&lt;=0,0,($S357-N($U357))*(INT(MIN($AK357,$V357)/12)*(2*($V357/12)-INT(MIN($AK357,$V357)/12)+1)/2+MOD(MIN($AK357,$V357),12)/12*(($V357/12)-INT(MIN($AK357,$V357)/12)))/(($V357/12)*(($V357/12)+1)/2)),0))))),2))</f>
        <v/>
      </c>
      <c r="AM357" s="23">
        <f>IF($X357="","",$X357-$AL357)</f>
        <v/>
      </c>
      <c r="AN357" s="23">
        <f>IF(OR($AH357="",$Y357=""),"",N($AI357)-$Y357)</f>
        <v/>
      </c>
    </row>
    <row r="358">
      <c r="Q358" s="20" t="n"/>
      <c r="R358" s="20" t="n"/>
      <c r="S358" s="21" t="n"/>
      <c r="U358" s="21" t="n"/>
      <c r="V358" s="22" t="n"/>
      <c r="X358" s="23">
        <f>IF(OR($S358="",$R358=""),"",ROUND(MAX(0,IF($W358="Straight-line",IF(N($V358)&lt;=0,0,($S358-N($U358))*MIN($AJ358,$V358)/$V358),IF($W358="Reducing balance",MIN(($S358-N($U358)),$S358-$S358*(1-N($AG358))^INT($AJ358/12)*(1-N($AG358)*MOD($AJ358,12)/12)),IF($W358="DDB",IF(N($V358)&lt;=0,0,MIN(($S358-N($U358)),$S358-$S358*(1-MIN(1,24/$V358))^INT($AJ358/12)*(1-MIN(1,24/$V358)*MOD($AJ358,12)/12))),IF($W358="SYD",IF(N($V358)&lt;=0,0,($S358-N($U358))*(INT(MIN($AJ358,$V358)/12)*(2*($V358/12)-INT(MIN($AJ358,$V358)/12)+1)/2+MOD(MIN($AJ358,$V358),12)/12*(($V358/12)-INT(MIN($AJ358,$V358)/12)))/(($V358/12)*(($V358/12)+1)/2)),0))))),2))</f>
        <v/>
      </c>
      <c r="Y358" s="23">
        <f>IF($X358="","",$S358-$X358)</f>
        <v/>
      </c>
      <c r="AD358" s="20" t="n"/>
      <c r="AG358" s="24" t="n"/>
      <c r="AH358" s="20" t="n"/>
      <c r="AI358" s="21" t="n"/>
      <c r="AJ358" s="25">
        <f>IF($R358="","",IF($R358&gt;IF($AH358&lt;&gt;"",MIN($AH358,Settings!$B$3),Settings!$B$3),0,(YEAR(IF($AH358&lt;&gt;"",MIN($AH358,Settings!$B$3),Settings!$B$3))-YEAR($R358))*12+MONTH(IF($AH358&lt;&gt;"",MIN($AH358,Settings!$B$3),Settings!$B$3))-MONTH($R358)+1))</f>
        <v/>
      </c>
      <c r="AK358" s="25">
        <f>IF($R358="","",IF($R358&gt;MIN(Settings!$B$4-1,IF($AH358&lt;&gt;"",MIN($AH358,Settings!$B$3),Settings!$B$3)),0,(YEAR(MIN(Settings!$B$4-1,IF($AH358&lt;&gt;"",MIN($AH358,Settings!$B$3),Settings!$B$3)))-YEAR($R358))*12+MONTH(MIN(Settings!$B$4-1,IF($AH358&lt;&gt;"",MIN($AH358,Settings!$B$3),Settings!$B$3)))-MONTH($R358)+1))</f>
        <v/>
      </c>
      <c r="AL358" s="23">
        <f>IF(OR($S358="",$R358=""),"",ROUND(MAX(0,IF($W358="Straight-line",IF(N($V358)&lt;=0,0,($S358-N($U358))*MIN($AK358,$V358)/$V358),IF($W358="Reducing balance",MIN(($S358-N($U358)),$S358-$S358*(1-N($AG358))^INT($AK358/12)*(1-N($AG358)*MOD($AK358,12)/12)),IF($W358="DDB",IF(N($V358)&lt;=0,0,MIN(($S358-N($U358)),$S358-$S358*(1-MIN(1,24/$V358))^INT($AK358/12)*(1-MIN(1,24/$V358)*MOD($AK358,12)/12))),IF($W358="SYD",IF(N($V358)&lt;=0,0,($S358-N($U358))*(INT(MIN($AK358,$V358)/12)*(2*($V358/12)-INT(MIN($AK358,$V358)/12)+1)/2+MOD(MIN($AK358,$V358),12)/12*(($V358/12)-INT(MIN($AK358,$V358)/12)))/(($V358/12)*(($V358/12)+1)/2)),0))))),2))</f>
        <v/>
      </c>
      <c r="AM358" s="23">
        <f>IF($X358="","",$X358-$AL358)</f>
        <v/>
      </c>
      <c r="AN358" s="23">
        <f>IF(OR($AH358="",$Y358=""),"",N($AI358)-$Y358)</f>
        <v/>
      </c>
    </row>
    <row r="359">
      <c r="Q359" s="20" t="n"/>
      <c r="R359" s="20" t="n"/>
      <c r="S359" s="21" t="n"/>
      <c r="U359" s="21" t="n"/>
      <c r="V359" s="22" t="n"/>
      <c r="X359" s="23">
        <f>IF(OR($S359="",$R359=""),"",ROUND(MAX(0,IF($W359="Straight-line",IF(N($V359)&lt;=0,0,($S359-N($U359))*MIN($AJ359,$V359)/$V359),IF($W359="Reducing balance",MIN(($S359-N($U359)),$S359-$S359*(1-N($AG359))^INT($AJ359/12)*(1-N($AG359)*MOD($AJ359,12)/12)),IF($W359="DDB",IF(N($V359)&lt;=0,0,MIN(($S359-N($U359)),$S359-$S359*(1-MIN(1,24/$V359))^INT($AJ359/12)*(1-MIN(1,24/$V359)*MOD($AJ359,12)/12))),IF($W359="SYD",IF(N($V359)&lt;=0,0,($S359-N($U359))*(INT(MIN($AJ359,$V359)/12)*(2*($V359/12)-INT(MIN($AJ359,$V359)/12)+1)/2+MOD(MIN($AJ359,$V359),12)/12*(($V359/12)-INT(MIN($AJ359,$V359)/12)))/(($V359/12)*(($V359/12)+1)/2)),0))))),2))</f>
        <v/>
      </c>
      <c r="Y359" s="23">
        <f>IF($X359="","",$S359-$X359)</f>
        <v/>
      </c>
      <c r="AD359" s="20" t="n"/>
      <c r="AG359" s="24" t="n"/>
      <c r="AH359" s="20" t="n"/>
      <c r="AI359" s="21" t="n"/>
      <c r="AJ359" s="25">
        <f>IF($R359="","",IF($R359&gt;IF($AH359&lt;&gt;"",MIN($AH359,Settings!$B$3),Settings!$B$3),0,(YEAR(IF($AH359&lt;&gt;"",MIN($AH359,Settings!$B$3),Settings!$B$3))-YEAR($R359))*12+MONTH(IF($AH359&lt;&gt;"",MIN($AH359,Settings!$B$3),Settings!$B$3))-MONTH($R359)+1))</f>
        <v/>
      </c>
      <c r="AK359" s="25">
        <f>IF($R359="","",IF($R359&gt;MIN(Settings!$B$4-1,IF($AH359&lt;&gt;"",MIN($AH359,Settings!$B$3),Settings!$B$3)),0,(YEAR(MIN(Settings!$B$4-1,IF($AH359&lt;&gt;"",MIN($AH359,Settings!$B$3),Settings!$B$3)))-YEAR($R359))*12+MONTH(MIN(Settings!$B$4-1,IF($AH359&lt;&gt;"",MIN($AH359,Settings!$B$3),Settings!$B$3)))-MONTH($R359)+1))</f>
        <v/>
      </c>
      <c r="AL359" s="23">
        <f>IF(OR($S359="",$R359=""),"",ROUND(MAX(0,IF($W359="Straight-line",IF(N($V359)&lt;=0,0,($S359-N($U359))*MIN($AK359,$V359)/$V359),IF($W359="Reducing balance",MIN(($S359-N($U359)),$S359-$S359*(1-N($AG359))^INT($AK359/12)*(1-N($AG359)*MOD($AK359,12)/12)),IF($W359="DDB",IF(N($V359)&lt;=0,0,MIN(($S359-N($U359)),$S359-$S359*(1-MIN(1,24/$V359))^INT($AK359/12)*(1-MIN(1,24/$V359)*MOD($AK359,12)/12))),IF($W359="SYD",IF(N($V359)&lt;=0,0,($S359-N($U359))*(INT(MIN($AK359,$V359)/12)*(2*($V359/12)-INT(MIN($AK359,$V359)/12)+1)/2+MOD(MIN($AK359,$V359),12)/12*(($V359/12)-INT(MIN($AK359,$V359)/12)))/(($V359/12)*(($V359/12)+1)/2)),0))))),2))</f>
        <v/>
      </c>
      <c r="AM359" s="23">
        <f>IF($X359="","",$X359-$AL359)</f>
        <v/>
      </c>
      <c r="AN359" s="23">
        <f>IF(OR($AH359="",$Y359=""),"",N($AI359)-$Y359)</f>
        <v/>
      </c>
    </row>
    <row r="360">
      <c r="Q360" s="20" t="n"/>
      <c r="R360" s="20" t="n"/>
      <c r="S360" s="21" t="n"/>
      <c r="U360" s="21" t="n"/>
      <c r="V360" s="22" t="n"/>
      <c r="X360" s="23">
        <f>IF(OR($S360="",$R360=""),"",ROUND(MAX(0,IF($W360="Straight-line",IF(N($V360)&lt;=0,0,($S360-N($U360))*MIN($AJ360,$V360)/$V360),IF($W360="Reducing balance",MIN(($S360-N($U360)),$S360-$S360*(1-N($AG360))^INT($AJ360/12)*(1-N($AG360)*MOD($AJ360,12)/12)),IF($W360="DDB",IF(N($V360)&lt;=0,0,MIN(($S360-N($U360)),$S360-$S360*(1-MIN(1,24/$V360))^INT($AJ360/12)*(1-MIN(1,24/$V360)*MOD($AJ360,12)/12))),IF($W360="SYD",IF(N($V360)&lt;=0,0,($S360-N($U360))*(INT(MIN($AJ360,$V360)/12)*(2*($V360/12)-INT(MIN($AJ360,$V360)/12)+1)/2+MOD(MIN($AJ360,$V360),12)/12*(($V360/12)-INT(MIN($AJ360,$V360)/12)))/(($V360/12)*(($V360/12)+1)/2)),0))))),2))</f>
        <v/>
      </c>
      <c r="Y360" s="23">
        <f>IF($X360="","",$S360-$X360)</f>
        <v/>
      </c>
      <c r="AD360" s="20" t="n"/>
      <c r="AG360" s="24" t="n"/>
      <c r="AH360" s="20" t="n"/>
      <c r="AI360" s="21" t="n"/>
      <c r="AJ360" s="25">
        <f>IF($R360="","",IF($R360&gt;IF($AH360&lt;&gt;"",MIN($AH360,Settings!$B$3),Settings!$B$3),0,(YEAR(IF($AH360&lt;&gt;"",MIN($AH360,Settings!$B$3),Settings!$B$3))-YEAR($R360))*12+MONTH(IF($AH360&lt;&gt;"",MIN($AH360,Settings!$B$3),Settings!$B$3))-MONTH($R360)+1))</f>
        <v/>
      </c>
      <c r="AK360" s="25">
        <f>IF($R360="","",IF($R360&gt;MIN(Settings!$B$4-1,IF($AH360&lt;&gt;"",MIN($AH360,Settings!$B$3),Settings!$B$3)),0,(YEAR(MIN(Settings!$B$4-1,IF($AH360&lt;&gt;"",MIN($AH360,Settings!$B$3),Settings!$B$3)))-YEAR($R360))*12+MONTH(MIN(Settings!$B$4-1,IF($AH360&lt;&gt;"",MIN($AH360,Settings!$B$3),Settings!$B$3)))-MONTH($R360)+1))</f>
        <v/>
      </c>
      <c r="AL360" s="23">
        <f>IF(OR($S360="",$R360=""),"",ROUND(MAX(0,IF($W360="Straight-line",IF(N($V360)&lt;=0,0,($S360-N($U360))*MIN($AK360,$V360)/$V360),IF($W360="Reducing balance",MIN(($S360-N($U360)),$S360-$S360*(1-N($AG360))^INT($AK360/12)*(1-N($AG360)*MOD($AK360,12)/12)),IF($W360="DDB",IF(N($V360)&lt;=0,0,MIN(($S360-N($U360)),$S360-$S360*(1-MIN(1,24/$V360))^INT($AK360/12)*(1-MIN(1,24/$V360)*MOD($AK360,12)/12))),IF($W360="SYD",IF(N($V360)&lt;=0,0,($S360-N($U360))*(INT(MIN($AK360,$V360)/12)*(2*($V360/12)-INT(MIN($AK360,$V360)/12)+1)/2+MOD(MIN($AK360,$V360),12)/12*(($V360/12)-INT(MIN($AK360,$V360)/12)))/(($V360/12)*(($V360/12)+1)/2)),0))))),2))</f>
        <v/>
      </c>
      <c r="AM360" s="23">
        <f>IF($X360="","",$X360-$AL360)</f>
        <v/>
      </c>
      <c r="AN360" s="23">
        <f>IF(OR($AH360="",$Y360=""),"",N($AI360)-$Y360)</f>
        <v/>
      </c>
    </row>
    <row r="361">
      <c r="Q361" s="20" t="n"/>
      <c r="R361" s="20" t="n"/>
      <c r="S361" s="21" t="n"/>
      <c r="U361" s="21" t="n"/>
      <c r="V361" s="22" t="n"/>
      <c r="X361" s="23">
        <f>IF(OR($S361="",$R361=""),"",ROUND(MAX(0,IF($W361="Straight-line",IF(N($V361)&lt;=0,0,($S361-N($U361))*MIN($AJ361,$V361)/$V361),IF($W361="Reducing balance",MIN(($S361-N($U361)),$S361-$S361*(1-N($AG361))^INT($AJ361/12)*(1-N($AG361)*MOD($AJ361,12)/12)),IF($W361="DDB",IF(N($V361)&lt;=0,0,MIN(($S361-N($U361)),$S361-$S361*(1-MIN(1,24/$V361))^INT($AJ361/12)*(1-MIN(1,24/$V361)*MOD($AJ361,12)/12))),IF($W361="SYD",IF(N($V361)&lt;=0,0,($S361-N($U361))*(INT(MIN($AJ361,$V361)/12)*(2*($V361/12)-INT(MIN($AJ361,$V361)/12)+1)/2+MOD(MIN($AJ361,$V361),12)/12*(($V361/12)-INT(MIN($AJ361,$V361)/12)))/(($V361/12)*(($V361/12)+1)/2)),0))))),2))</f>
        <v/>
      </c>
      <c r="Y361" s="23">
        <f>IF($X361="","",$S361-$X361)</f>
        <v/>
      </c>
      <c r="AD361" s="20" t="n"/>
      <c r="AG361" s="24" t="n"/>
      <c r="AH361" s="20" t="n"/>
      <c r="AI361" s="21" t="n"/>
      <c r="AJ361" s="25">
        <f>IF($R361="","",IF($R361&gt;IF($AH361&lt;&gt;"",MIN($AH361,Settings!$B$3),Settings!$B$3),0,(YEAR(IF($AH361&lt;&gt;"",MIN($AH361,Settings!$B$3),Settings!$B$3))-YEAR($R361))*12+MONTH(IF($AH361&lt;&gt;"",MIN($AH361,Settings!$B$3),Settings!$B$3))-MONTH($R361)+1))</f>
        <v/>
      </c>
      <c r="AK361" s="25">
        <f>IF($R361="","",IF($R361&gt;MIN(Settings!$B$4-1,IF($AH361&lt;&gt;"",MIN($AH361,Settings!$B$3),Settings!$B$3)),0,(YEAR(MIN(Settings!$B$4-1,IF($AH361&lt;&gt;"",MIN($AH361,Settings!$B$3),Settings!$B$3)))-YEAR($R361))*12+MONTH(MIN(Settings!$B$4-1,IF($AH361&lt;&gt;"",MIN($AH361,Settings!$B$3),Settings!$B$3)))-MONTH($R361)+1))</f>
        <v/>
      </c>
      <c r="AL361" s="23">
        <f>IF(OR($S361="",$R361=""),"",ROUND(MAX(0,IF($W361="Straight-line",IF(N($V361)&lt;=0,0,($S361-N($U361))*MIN($AK361,$V361)/$V361),IF($W361="Reducing balance",MIN(($S361-N($U361)),$S361-$S361*(1-N($AG361))^INT($AK361/12)*(1-N($AG361)*MOD($AK361,12)/12)),IF($W361="DDB",IF(N($V361)&lt;=0,0,MIN(($S361-N($U361)),$S361-$S361*(1-MIN(1,24/$V361))^INT($AK361/12)*(1-MIN(1,24/$V361)*MOD($AK361,12)/12))),IF($W361="SYD",IF(N($V361)&lt;=0,0,($S361-N($U361))*(INT(MIN($AK361,$V361)/12)*(2*($V361/12)-INT(MIN($AK361,$V361)/12)+1)/2+MOD(MIN($AK361,$V361),12)/12*(($V361/12)-INT(MIN($AK361,$V361)/12)))/(($V361/12)*(($V361/12)+1)/2)),0))))),2))</f>
        <v/>
      </c>
      <c r="AM361" s="23">
        <f>IF($X361="","",$X361-$AL361)</f>
        <v/>
      </c>
      <c r="AN361" s="23">
        <f>IF(OR($AH361="",$Y361=""),"",N($AI361)-$Y361)</f>
        <v/>
      </c>
    </row>
    <row r="362">
      <c r="Q362" s="20" t="n"/>
      <c r="R362" s="20" t="n"/>
      <c r="S362" s="21" t="n"/>
      <c r="U362" s="21" t="n"/>
      <c r="V362" s="22" t="n"/>
      <c r="X362" s="23">
        <f>IF(OR($S362="",$R362=""),"",ROUND(MAX(0,IF($W362="Straight-line",IF(N($V362)&lt;=0,0,($S362-N($U362))*MIN($AJ362,$V362)/$V362),IF($W362="Reducing balance",MIN(($S362-N($U362)),$S362-$S362*(1-N($AG362))^INT($AJ362/12)*(1-N($AG362)*MOD($AJ362,12)/12)),IF($W362="DDB",IF(N($V362)&lt;=0,0,MIN(($S362-N($U362)),$S362-$S362*(1-MIN(1,24/$V362))^INT($AJ362/12)*(1-MIN(1,24/$V362)*MOD($AJ362,12)/12))),IF($W362="SYD",IF(N($V362)&lt;=0,0,($S362-N($U362))*(INT(MIN($AJ362,$V362)/12)*(2*($V362/12)-INT(MIN($AJ362,$V362)/12)+1)/2+MOD(MIN($AJ362,$V362),12)/12*(($V362/12)-INT(MIN($AJ362,$V362)/12)))/(($V362/12)*(($V362/12)+1)/2)),0))))),2))</f>
        <v/>
      </c>
      <c r="Y362" s="23">
        <f>IF($X362="","",$S362-$X362)</f>
        <v/>
      </c>
      <c r="AD362" s="20" t="n"/>
      <c r="AG362" s="24" t="n"/>
      <c r="AH362" s="20" t="n"/>
      <c r="AI362" s="21" t="n"/>
      <c r="AJ362" s="25">
        <f>IF($R362="","",IF($R362&gt;IF($AH362&lt;&gt;"",MIN($AH362,Settings!$B$3),Settings!$B$3),0,(YEAR(IF($AH362&lt;&gt;"",MIN($AH362,Settings!$B$3),Settings!$B$3))-YEAR($R362))*12+MONTH(IF($AH362&lt;&gt;"",MIN($AH362,Settings!$B$3),Settings!$B$3))-MONTH($R362)+1))</f>
        <v/>
      </c>
      <c r="AK362" s="25">
        <f>IF($R362="","",IF($R362&gt;MIN(Settings!$B$4-1,IF($AH362&lt;&gt;"",MIN($AH362,Settings!$B$3),Settings!$B$3)),0,(YEAR(MIN(Settings!$B$4-1,IF($AH362&lt;&gt;"",MIN($AH362,Settings!$B$3),Settings!$B$3)))-YEAR($R362))*12+MONTH(MIN(Settings!$B$4-1,IF($AH362&lt;&gt;"",MIN($AH362,Settings!$B$3),Settings!$B$3)))-MONTH($R362)+1))</f>
        <v/>
      </c>
      <c r="AL362" s="23">
        <f>IF(OR($S362="",$R362=""),"",ROUND(MAX(0,IF($W362="Straight-line",IF(N($V362)&lt;=0,0,($S362-N($U362))*MIN($AK362,$V362)/$V362),IF($W362="Reducing balance",MIN(($S362-N($U362)),$S362-$S362*(1-N($AG362))^INT($AK362/12)*(1-N($AG362)*MOD($AK362,12)/12)),IF($W362="DDB",IF(N($V362)&lt;=0,0,MIN(($S362-N($U362)),$S362-$S362*(1-MIN(1,24/$V362))^INT($AK362/12)*(1-MIN(1,24/$V362)*MOD($AK362,12)/12))),IF($W362="SYD",IF(N($V362)&lt;=0,0,($S362-N($U362))*(INT(MIN($AK362,$V362)/12)*(2*($V362/12)-INT(MIN($AK362,$V362)/12)+1)/2+MOD(MIN($AK362,$V362),12)/12*(($V362/12)-INT(MIN($AK362,$V362)/12)))/(($V362/12)*(($V362/12)+1)/2)),0))))),2))</f>
        <v/>
      </c>
      <c r="AM362" s="23">
        <f>IF($X362="","",$X362-$AL362)</f>
        <v/>
      </c>
      <c r="AN362" s="23">
        <f>IF(OR($AH362="",$Y362=""),"",N($AI362)-$Y362)</f>
        <v/>
      </c>
    </row>
    <row r="363">
      <c r="Q363" s="20" t="n"/>
      <c r="R363" s="20" t="n"/>
      <c r="S363" s="21" t="n"/>
      <c r="U363" s="21" t="n"/>
      <c r="V363" s="22" t="n"/>
      <c r="X363" s="23">
        <f>IF(OR($S363="",$R363=""),"",ROUND(MAX(0,IF($W363="Straight-line",IF(N($V363)&lt;=0,0,($S363-N($U363))*MIN($AJ363,$V363)/$V363),IF($W363="Reducing balance",MIN(($S363-N($U363)),$S363-$S363*(1-N($AG363))^INT($AJ363/12)*(1-N($AG363)*MOD($AJ363,12)/12)),IF($W363="DDB",IF(N($V363)&lt;=0,0,MIN(($S363-N($U363)),$S363-$S363*(1-MIN(1,24/$V363))^INT($AJ363/12)*(1-MIN(1,24/$V363)*MOD($AJ363,12)/12))),IF($W363="SYD",IF(N($V363)&lt;=0,0,($S363-N($U363))*(INT(MIN($AJ363,$V363)/12)*(2*($V363/12)-INT(MIN($AJ363,$V363)/12)+1)/2+MOD(MIN($AJ363,$V363),12)/12*(($V363/12)-INT(MIN($AJ363,$V363)/12)))/(($V363/12)*(($V363/12)+1)/2)),0))))),2))</f>
        <v/>
      </c>
      <c r="Y363" s="23">
        <f>IF($X363="","",$S363-$X363)</f>
        <v/>
      </c>
      <c r="AD363" s="20" t="n"/>
      <c r="AG363" s="24" t="n"/>
      <c r="AH363" s="20" t="n"/>
      <c r="AI363" s="21" t="n"/>
      <c r="AJ363" s="25">
        <f>IF($R363="","",IF($R363&gt;IF($AH363&lt;&gt;"",MIN($AH363,Settings!$B$3),Settings!$B$3),0,(YEAR(IF($AH363&lt;&gt;"",MIN($AH363,Settings!$B$3),Settings!$B$3))-YEAR($R363))*12+MONTH(IF($AH363&lt;&gt;"",MIN($AH363,Settings!$B$3),Settings!$B$3))-MONTH($R363)+1))</f>
        <v/>
      </c>
      <c r="AK363" s="25">
        <f>IF($R363="","",IF($R363&gt;MIN(Settings!$B$4-1,IF($AH363&lt;&gt;"",MIN($AH363,Settings!$B$3),Settings!$B$3)),0,(YEAR(MIN(Settings!$B$4-1,IF($AH363&lt;&gt;"",MIN($AH363,Settings!$B$3),Settings!$B$3)))-YEAR($R363))*12+MONTH(MIN(Settings!$B$4-1,IF($AH363&lt;&gt;"",MIN($AH363,Settings!$B$3),Settings!$B$3)))-MONTH($R363)+1))</f>
        <v/>
      </c>
      <c r="AL363" s="23">
        <f>IF(OR($S363="",$R363=""),"",ROUND(MAX(0,IF($W363="Straight-line",IF(N($V363)&lt;=0,0,($S363-N($U363))*MIN($AK363,$V363)/$V363),IF($W363="Reducing balance",MIN(($S363-N($U363)),$S363-$S363*(1-N($AG363))^INT($AK363/12)*(1-N($AG363)*MOD($AK363,12)/12)),IF($W363="DDB",IF(N($V363)&lt;=0,0,MIN(($S363-N($U363)),$S363-$S363*(1-MIN(1,24/$V363))^INT($AK363/12)*(1-MIN(1,24/$V363)*MOD($AK363,12)/12))),IF($W363="SYD",IF(N($V363)&lt;=0,0,($S363-N($U363))*(INT(MIN($AK363,$V363)/12)*(2*($V363/12)-INT(MIN($AK363,$V363)/12)+1)/2+MOD(MIN($AK363,$V363),12)/12*(($V363/12)-INT(MIN($AK363,$V363)/12)))/(($V363/12)*(($V363/12)+1)/2)),0))))),2))</f>
        <v/>
      </c>
      <c r="AM363" s="23">
        <f>IF($X363="","",$X363-$AL363)</f>
        <v/>
      </c>
      <c r="AN363" s="23">
        <f>IF(OR($AH363="",$Y363=""),"",N($AI363)-$Y363)</f>
        <v/>
      </c>
    </row>
    <row r="364">
      <c r="Q364" s="20" t="n"/>
      <c r="R364" s="20" t="n"/>
      <c r="S364" s="21" t="n"/>
      <c r="U364" s="21" t="n"/>
      <c r="V364" s="22" t="n"/>
      <c r="X364" s="23">
        <f>IF(OR($S364="",$R364=""),"",ROUND(MAX(0,IF($W364="Straight-line",IF(N($V364)&lt;=0,0,($S364-N($U364))*MIN($AJ364,$V364)/$V364),IF($W364="Reducing balance",MIN(($S364-N($U364)),$S364-$S364*(1-N($AG364))^INT($AJ364/12)*(1-N($AG364)*MOD($AJ364,12)/12)),IF($W364="DDB",IF(N($V364)&lt;=0,0,MIN(($S364-N($U364)),$S364-$S364*(1-MIN(1,24/$V364))^INT($AJ364/12)*(1-MIN(1,24/$V364)*MOD($AJ364,12)/12))),IF($W364="SYD",IF(N($V364)&lt;=0,0,($S364-N($U364))*(INT(MIN($AJ364,$V364)/12)*(2*($V364/12)-INT(MIN($AJ364,$V364)/12)+1)/2+MOD(MIN($AJ364,$V364),12)/12*(($V364/12)-INT(MIN($AJ364,$V364)/12)))/(($V364/12)*(($V364/12)+1)/2)),0))))),2))</f>
        <v/>
      </c>
      <c r="Y364" s="23">
        <f>IF($X364="","",$S364-$X364)</f>
        <v/>
      </c>
      <c r="AD364" s="20" t="n"/>
      <c r="AG364" s="24" t="n"/>
      <c r="AH364" s="20" t="n"/>
      <c r="AI364" s="21" t="n"/>
      <c r="AJ364" s="25">
        <f>IF($R364="","",IF($R364&gt;IF($AH364&lt;&gt;"",MIN($AH364,Settings!$B$3),Settings!$B$3),0,(YEAR(IF($AH364&lt;&gt;"",MIN($AH364,Settings!$B$3),Settings!$B$3))-YEAR($R364))*12+MONTH(IF($AH364&lt;&gt;"",MIN($AH364,Settings!$B$3),Settings!$B$3))-MONTH($R364)+1))</f>
        <v/>
      </c>
      <c r="AK364" s="25">
        <f>IF($R364="","",IF($R364&gt;MIN(Settings!$B$4-1,IF($AH364&lt;&gt;"",MIN($AH364,Settings!$B$3),Settings!$B$3)),0,(YEAR(MIN(Settings!$B$4-1,IF($AH364&lt;&gt;"",MIN($AH364,Settings!$B$3),Settings!$B$3)))-YEAR($R364))*12+MONTH(MIN(Settings!$B$4-1,IF($AH364&lt;&gt;"",MIN($AH364,Settings!$B$3),Settings!$B$3)))-MONTH($R364)+1))</f>
        <v/>
      </c>
      <c r="AL364" s="23">
        <f>IF(OR($S364="",$R364=""),"",ROUND(MAX(0,IF($W364="Straight-line",IF(N($V364)&lt;=0,0,($S364-N($U364))*MIN($AK364,$V364)/$V364),IF($W364="Reducing balance",MIN(($S364-N($U364)),$S364-$S364*(1-N($AG364))^INT($AK364/12)*(1-N($AG364)*MOD($AK364,12)/12)),IF($W364="DDB",IF(N($V364)&lt;=0,0,MIN(($S364-N($U364)),$S364-$S364*(1-MIN(1,24/$V364))^INT($AK364/12)*(1-MIN(1,24/$V364)*MOD($AK364,12)/12))),IF($W364="SYD",IF(N($V364)&lt;=0,0,($S364-N($U364))*(INT(MIN($AK364,$V364)/12)*(2*($V364/12)-INT(MIN($AK364,$V364)/12)+1)/2+MOD(MIN($AK364,$V364),12)/12*(($V364/12)-INT(MIN($AK364,$V364)/12)))/(($V364/12)*(($V364/12)+1)/2)),0))))),2))</f>
        <v/>
      </c>
      <c r="AM364" s="23">
        <f>IF($X364="","",$X364-$AL364)</f>
        <v/>
      </c>
      <c r="AN364" s="23">
        <f>IF(OR($AH364="",$Y364=""),"",N($AI364)-$Y364)</f>
        <v/>
      </c>
    </row>
    <row r="365">
      <c r="Q365" s="20" t="n"/>
      <c r="R365" s="20" t="n"/>
      <c r="S365" s="21" t="n"/>
      <c r="U365" s="21" t="n"/>
      <c r="V365" s="22" t="n"/>
      <c r="X365" s="23">
        <f>IF(OR($S365="",$R365=""),"",ROUND(MAX(0,IF($W365="Straight-line",IF(N($V365)&lt;=0,0,($S365-N($U365))*MIN($AJ365,$V365)/$V365),IF($W365="Reducing balance",MIN(($S365-N($U365)),$S365-$S365*(1-N($AG365))^INT($AJ365/12)*(1-N($AG365)*MOD($AJ365,12)/12)),IF($W365="DDB",IF(N($V365)&lt;=0,0,MIN(($S365-N($U365)),$S365-$S365*(1-MIN(1,24/$V365))^INT($AJ365/12)*(1-MIN(1,24/$V365)*MOD($AJ365,12)/12))),IF($W365="SYD",IF(N($V365)&lt;=0,0,($S365-N($U365))*(INT(MIN($AJ365,$V365)/12)*(2*($V365/12)-INT(MIN($AJ365,$V365)/12)+1)/2+MOD(MIN($AJ365,$V365),12)/12*(($V365/12)-INT(MIN($AJ365,$V365)/12)))/(($V365/12)*(($V365/12)+1)/2)),0))))),2))</f>
        <v/>
      </c>
      <c r="Y365" s="23">
        <f>IF($X365="","",$S365-$X365)</f>
        <v/>
      </c>
      <c r="AD365" s="20" t="n"/>
      <c r="AG365" s="24" t="n"/>
      <c r="AH365" s="20" t="n"/>
      <c r="AI365" s="21" t="n"/>
      <c r="AJ365" s="25">
        <f>IF($R365="","",IF($R365&gt;IF($AH365&lt;&gt;"",MIN($AH365,Settings!$B$3),Settings!$B$3),0,(YEAR(IF($AH365&lt;&gt;"",MIN($AH365,Settings!$B$3),Settings!$B$3))-YEAR($R365))*12+MONTH(IF($AH365&lt;&gt;"",MIN($AH365,Settings!$B$3),Settings!$B$3))-MONTH($R365)+1))</f>
        <v/>
      </c>
      <c r="AK365" s="25">
        <f>IF($R365="","",IF($R365&gt;MIN(Settings!$B$4-1,IF($AH365&lt;&gt;"",MIN($AH365,Settings!$B$3),Settings!$B$3)),0,(YEAR(MIN(Settings!$B$4-1,IF($AH365&lt;&gt;"",MIN($AH365,Settings!$B$3),Settings!$B$3)))-YEAR($R365))*12+MONTH(MIN(Settings!$B$4-1,IF($AH365&lt;&gt;"",MIN($AH365,Settings!$B$3),Settings!$B$3)))-MONTH($R365)+1))</f>
        <v/>
      </c>
      <c r="AL365" s="23">
        <f>IF(OR($S365="",$R365=""),"",ROUND(MAX(0,IF($W365="Straight-line",IF(N($V365)&lt;=0,0,($S365-N($U365))*MIN($AK365,$V365)/$V365),IF($W365="Reducing balance",MIN(($S365-N($U365)),$S365-$S365*(1-N($AG365))^INT($AK365/12)*(1-N($AG365)*MOD($AK365,12)/12)),IF($W365="DDB",IF(N($V365)&lt;=0,0,MIN(($S365-N($U365)),$S365-$S365*(1-MIN(1,24/$V365))^INT($AK365/12)*(1-MIN(1,24/$V365)*MOD($AK365,12)/12))),IF($W365="SYD",IF(N($V365)&lt;=0,0,($S365-N($U365))*(INT(MIN($AK365,$V365)/12)*(2*($V365/12)-INT(MIN($AK365,$V365)/12)+1)/2+MOD(MIN($AK365,$V365),12)/12*(($V365/12)-INT(MIN($AK365,$V365)/12)))/(($V365/12)*(($V365/12)+1)/2)),0))))),2))</f>
        <v/>
      </c>
      <c r="AM365" s="23">
        <f>IF($X365="","",$X365-$AL365)</f>
        <v/>
      </c>
      <c r="AN365" s="23">
        <f>IF(OR($AH365="",$Y365=""),"",N($AI365)-$Y365)</f>
        <v/>
      </c>
    </row>
    <row r="366">
      <c r="Q366" s="20" t="n"/>
      <c r="R366" s="20" t="n"/>
      <c r="S366" s="21" t="n"/>
      <c r="U366" s="21" t="n"/>
      <c r="V366" s="22" t="n"/>
      <c r="X366" s="23">
        <f>IF(OR($S366="",$R366=""),"",ROUND(MAX(0,IF($W366="Straight-line",IF(N($V366)&lt;=0,0,($S366-N($U366))*MIN($AJ366,$V366)/$V366),IF($W366="Reducing balance",MIN(($S366-N($U366)),$S366-$S366*(1-N($AG366))^INT($AJ366/12)*(1-N($AG366)*MOD($AJ366,12)/12)),IF($W366="DDB",IF(N($V366)&lt;=0,0,MIN(($S366-N($U366)),$S366-$S366*(1-MIN(1,24/$V366))^INT($AJ366/12)*(1-MIN(1,24/$V366)*MOD($AJ366,12)/12))),IF($W366="SYD",IF(N($V366)&lt;=0,0,($S366-N($U366))*(INT(MIN($AJ366,$V366)/12)*(2*($V366/12)-INT(MIN($AJ366,$V366)/12)+1)/2+MOD(MIN($AJ366,$V366),12)/12*(($V366/12)-INT(MIN($AJ366,$V366)/12)))/(($V366/12)*(($V366/12)+1)/2)),0))))),2))</f>
        <v/>
      </c>
      <c r="Y366" s="23">
        <f>IF($X366="","",$S366-$X366)</f>
        <v/>
      </c>
      <c r="AD366" s="20" t="n"/>
      <c r="AG366" s="24" t="n"/>
      <c r="AH366" s="20" t="n"/>
      <c r="AI366" s="21" t="n"/>
      <c r="AJ366" s="25">
        <f>IF($R366="","",IF($R366&gt;IF($AH366&lt;&gt;"",MIN($AH366,Settings!$B$3),Settings!$B$3),0,(YEAR(IF($AH366&lt;&gt;"",MIN($AH366,Settings!$B$3),Settings!$B$3))-YEAR($R366))*12+MONTH(IF($AH366&lt;&gt;"",MIN($AH366,Settings!$B$3),Settings!$B$3))-MONTH($R366)+1))</f>
        <v/>
      </c>
      <c r="AK366" s="25">
        <f>IF($R366="","",IF($R366&gt;MIN(Settings!$B$4-1,IF($AH366&lt;&gt;"",MIN($AH366,Settings!$B$3),Settings!$B$3)),0,(YEAR(MIN(Settings!$B$4-1,IF($AH366&lt;&gt;"",MIN($AH366,Settings!$B$3),Settings!$B$3)))-YEAR($R366))*12+MONTH(MIN(Settings!$B$4-1,IF($AH366&lt;&gt;"",MIN($AH366,Settings!$B$3),Settings!$B$3)))-MONTH($R366)+1))</f>
        <v/>
      </c>
      <c r="AL366" s="23">
        <f>IF(OR($S366="",$R366=""),"",ROUND(MAX(0,IF($W366="Straight-line",IF(N($V366)&lt;=0,0,($S366-N($U366))*MIN($AK366,$V366)/$V366),IF($W366="Reducing balance",MIN(($S366-N($U366)),$S366-$S366*(1-N($AG366))^INT($AK366/12)*(1-N($AG366)*MOD($AK366,12)/12)),IF($W366="DDB",IF(N($V366)&lt;=0,0,MIN(($S366-N($U366)),$S366-$S366*(1-MIN(1,24/$V366))^INT($AK366/12)*(1-MIN(1,24/$V366)*MOD($AK366,12)/12))),IF($W366="SYD",IF(N($V366)&lt;=0,0,($S366-N($U366))*(INT(MIN($AK366,$V366)/12)*(2*($V366/12)-INT(MIN($AK366,$V366)/12)+1)/2+MOD(MIN($AK366,$V366),12)/12*(($V366/12)-INT(MIN($AK366,$V366)/12)))/(($V366/12)*(($V366/12)+1)/2)),0))))),2))</f>
        <v/>
      </c>
      <c r="AM366" s="23">
        <f>IF($X366="","",$X366-$AL366)</f>
        <v/>
      </c>
      <c r="AN366" s="23">
        <f>IF(OR($AH366="",$Y366=""),"",N($AI366)-$Y366)</f>
        <v/>
      </c>
    </row>
    <row r="367">
      <c r="Q367" s="20" t="n"/>
      <c r="R367" s="20" t="n"/>
      <c r="S367" s="21" t="n"/>
      <c r="U367" s="21" t="n"/>
      <c r="V367" s="22" t="n"/>
      <c r="X367" s="23">
        <f>IF(OR($S367="",$R367=""),"",ROUND(MAX(0,IF($W367="Straight-line",IF(N($V367)&lt;=0,0,($S367-N($U367))*MIN($AJ367,$V367)/$V367),IF($W367="Reducing balance",MIN(($S367-N($U367)),$S367-$S367*(1-N($AG367))^INT($AJ367/12)*(1-N($AG367)*MOD($AJ367,12)/12)),IF($W367="DDB",IF(N($V367)&lt;=0,0,MIN(($S367-N($U367)),$S367-$S367*(1-MIN(1,24/$V367))^INT($AJ367/12)*(1-MIN(1,24/$V367)*MOD($AJ367,12)/12))),IF($W367="SYD",IF(N($V367)&lt;=0,0,($S367-N($U367))*(INT(MIN($AJ367,$V367)/12)*(2*($V367/12)-INT(MIN($AJ367,$V367)/12)+1)/2+MOD(MIN($AJ367,$V367),12)/12*(($V367/12)-INT(MIN($AJ367,$V367)/12)))/(($V367/12)*(($V367/12)+1)/2)),0))))),2))</f>
        <v/>
      </c>
      <c r="Y367" s="23">
        <f>IF($X367="","",$S367-$X367)</f>
        <v/>
      </c>
      <c r="AD367" s="20" t="n"/>
      <c r="AG367" s="24" t="n"/>
      <c r="AH367" s="20" t="n"/>
      <c r="AI367" s="21" t="n"/>
      <c r="AJ367" s="25">
        <f>IF($R367="","",IF($R367&gt;IF($AH367&lt;&gt;"",MIN($AH367,Settings!$B$3),Settings!$B$3),0,(YEAR(IF($AH367&lt;&gt;"",MIN($AH367,Settings!$B$3),Settings!$B$3))-YEAR($R367))*12+MONTH(IF($AH367&lt;&gt;"",MIN($AH367,Settings!$B$3),Settings!$B$3))-MONTH($R367)+1))</f>
        <v/>
      </c>
      <c r="AK367" s="25">
        <f>IF($R367="","",IF($R367&gt;MIN(Settings!$B$4-1,IF($AH367&lt;&gt;"",MIN($AH367,Settings!$B$3),Settings!$B$3)),0,(YEAR(MIN(Settings!$B$4-1,IF($AH367&lt;&gt;"",MIN($AH367,Settings!$B$3),Settings!$B$3)))-YEAR($R367))*12+MONTH(MIN(Settings!$B$4-1,IF($AH367&lt;&gt;"",MIN($AH367,Settings!$B$3),Settings!$B$3)))-MONTH($R367)+1))</f>
        <v/>
      </c>
      <c r="AL367" s="23">
        <f>IF(OR($S367="",$R367=""),"",ROUND(MAX(0,IF($W367="Straight-line",IF(N($V367)&lt;=0,0,($S367-N($U367))*MIN($AK367,$V367)/$V367),IF($W367="Reducing balance",MIN(($S367-N($U367)),$S367-$S367*(1-N($AG367))^INT($AK367/12)*(1-N($AG367)*MOD($AK367,12)/12)),IF($W367="DDB",IF(N($V367)&lt;=0,0,MIN(($S367-N($U367)),$S367-$S367*(1-MIN(1,24/$V367))^INT($AK367/12)*(1-MIN(1,24/$V367)*MOD($AK367,12)/12))),IF($W367="SYD",IF(N($V367)&lt;=0,0,($S367-N($U367))*(INT(MIN($AK367,$V367)/12)*(2*($V367/12)-INT(MIN($AK367,$V367)/12)+1)/2+MOD(MIN($AK367,$V367),12)/12*(($V367/12)-INT(MIN($AK367,$V367)/12)))/(($V367/12)*(($V367/12)+1)/2)),0))))),2))</f>
        <v/>
      </c>
      <c r="AM367" s="23">
        <f>IF($X367="","",$X367-$AL367)</f>
        <v/>
      </c>
      <c r="AN367" s="23">
        <f>IF(OR($AH367="",$Y367=""),"",N($AI367)-$Y367)</f>
        <v/>
      </c>
    </row>
    <row r="368">
      <c r="Q368" s="20" t="n"/>
      <c r="R368" s="20" t="n"/>
      <c r="S368" s="21" t="n"/>
      <c r="U368" s="21" t="n"/>
      <c r="V368" s="22" t="n"/>
      <c r="X368" s="23">
        <f>IF(OR($S368="",$R368=""),"",ROUND(MAX(0,IF($W368="Straight-line",IF(N($V368)&lt;=0,0,($S368-N($U368))*MIN($AJ368,$V368)/$V368),IF($W368="Reducing balance",MIN(($S368-N($U368)),$S368-$S368*(1-N($AG368))^INT($AJ368/12)*(1-N($AG368)*MOD($AJ368,12)/12)),IF($W368="DDB",IF(N($V368)&lt;=0,0,MIN(($S368-N($U368)),$S368-$S368*(1-MIN(1,24/$V368))^INT($AJ368/12)*(1-MIN(1,24/$V368)*MOD($AJ368,12)/12))),IF($W368="SYD",IF(N($V368)&lt;=0,0,($S368-N($U368))*(INT(MIN($AJ368,$V368)/12)*(2*($V368/12)-INT(MIN($AJ368,$V368)/12)+1)/2+MOD(MIN($AJ368,$V368),12)/12*(($V368/12)-INT(MIN($AJ368,$V368)/12)))/(($V368/12)*(($V368/12)+1)/2)),0))))),2))</f>
        <v/>
      </c>
      <c r="Y368" s="23">
        <f>IF($X368="","",$S368-$X368)</f>
        <v/>
      </c>
      <c r="AD368" s="20" t="n"/>
      <c r="AG368" s="24" t="n"/>
      <c r="AH368" s="20" t="n"/>
      <c r="AI368" s="21" t="n"/>
      <c r="AJ368" s="25">
        <f>IF($R368="","",IF($R368&gt;IF($AH368&lt;&gt;"",MIN($AH368,Settings!$B$3),Settings!$B$3),0,(YEAR(IF($AH368&lt;&gt;"",MIN($AH368,Settings!$B$3),Settings!$B$3))-YEAR($R368))*12+MONTH(IF($AH368&lt;&gt;"",MIN($AH368,Settings!$B$3),Settings!$B$3))-MONTH($R368)+1))</f>
        <v/>
      </c>
      <c r="AK368" s="25">
        <f>IF($R368="","",IF($R368&gt;MIN(Settings!$B$4-1,IF($AH368&lt;&gt;"",MIN($AH368,Settings!$B$3),Settings!$B$3)),0,(YEAR(MIN(Settings!$B$4-1,IF($AH368&lt;&gt;"",MIN($AH368,Settings!$B$3),Settings!$B$3)))-YEAR($R368))*12+MONTH(MIN(Settings!$B$4-1,IF($AH368&lt;&gt;"",MIN($AH368,Settings!$B$3),Settings!$B$3)))-MONTH($R368)+1))</f>
        <v/>
      </c>
      <c r="AL368" s="23">
        <f>IF(OR($S368="",$R368=""),"",ROUND(MAX(0,IF($W368="Straight-line",IF(N($V368)&lt;=0,0,($S368-N($U368))*MIN($AK368,$V368)/$V368),IF($W368="Reducing balance",MIN(($S368-N($U368)),$S368-$S368*(1-N($AG368))^INT($AK368/12)*(1-N($AG368)*MOD($AK368,12)/12)),IF($W368="DDB",IF(N($V368)&lt;=0,0,MIN(($S368-N($U368)),$S368-$S368*(1-MIN(1,24/$V368))^INT($AK368/12)*(1-MIN(1,24/$V368)*MOD($AK368,12)/12))),IF($W368="SYD",IF(N($V368)&lt;=0,0,($S368-N($U368))*(INT(MIN($AK368,$V368)/12)*(2*($V368/12)-INT(MIN($AK368,$V368)/12)+1)/2+MOD(MIN($AK368,$V368),12)/12*(($V368/12)-INT(MIN($AK368,$V368)/12)))/(($V368/12)*(($V368/12)+1)/2)),0))))),2))</f>
        <v/>
      </c>
      <c r="AM368" s="23">
        <f>IF($X368="","",$X368-$AL368)</f>
        <v/>
      </c>
      <c r="AN368" s="23">
        <f>IF(OR($AH368="",$Y368=""),"",N($AI368)-$Y368)</f>
        <v/>
      </c>
    </row>
    <row r="369">
      <c r="Q369" s="20" t="n"/>
      <c r="R369" s="20" t="n"/>
      <c r="S369" s="21" t="n"/>
      <c r="U369" s="21" t="n"/>
      <c r="V369" s="22" t="n"/>
      <c r="X369" s="23">
        <f>IF(OR($S369="",$R369=""),"",ROUND(MAX(0,IF($W369="Straight-line",IF(N($V369)&lt;=0,0,($S369-N($U369))*MIN($AJ369,$V369)/$V369),IF($W369="Reducing balance",MIN(($S369-N($U369)),$S369-$S369*(1-N($AG369))^INT($AJ369/12)*(1-N($AG369)*MOD($AJ369,12)/12)),IF($W369="DDB",IF(N($V369)&lt;=0,0,MIN(($S369-N($U369)),$S369-$S369*(1-MIN(1,24/$V369))^INT($AJ369/12)*(1-MIN(1,24/$V369)*MOD($AJ369,12)/12))),IF($W369="SYD",IF(N($V369)&lt;=0,0,($S369-N($U369))*(INT(MIN($AJ369,$V369)/12)*(2*($V369/12)-INT(MIN($AJ369,$V369)/12)+1)/2+MOD(MIN($AJ369,$V369),12)/12*(($V369/12)-INT(MIN($AJ369,$V369)/12)))/(($V369/12)*(($V369/12)+1)/2)),0))))),2))</f>
        <v/>
      </c>
      <c r="Y369" s="23">
        <f>IF($X369="","",$S369-$X369)</f>
        <v/>
      </c>
      <c r="AD369" s="20" t="n"/>
      <c r="AG369" s="24" t="n"/>
      <c r="AH369" s="20" t="n"/>
      <c r="AI369" s="21" t="n"/>
      <c r="AJ369" s="25">
        <f>IF($R369="","",IF($R369&gt;IF($AH369&lt;&gt;"",MIN($AH369,Settings!$B$3),Settings!$B$3),0,(YEAR(IF($AH369&lt;&gt;"",MIN($AH369,Settings!$B$3),Settings!$B$3))-YEAR($R369))*12+MONTH(IF($AH369&lt;&gt;"",MIN($AH369,Settings!$B$3),Settings!$B$3))-MONTH($R369)+1))</f>
        <v/>
      </c>
      <c r="AK369" s="25">
        <f>IF($R369="","",IF($R369&gt;MIN(Settings!$B$4-1,IF($AH369&lt;&gt;"",MIN($AH369,Settings!$B$3),Settings!$B$3)),0,(YEAR(MIN(Settings!$B$4-1,IF($AH369&lt;&gt;"",MIN($AH369,Settings!$B$3),Settings!$B$3)))-YEAR($R369))*12+MONTH(MIN(Settings!$B$4-1,IF($AH369&lt;&gt;"",MIN($AH369,Settings!$B$3),Settings!$B$3)))-MONTH($R369)+1))</f>
        <v/>
      </c>
      <c r="AL369" s="23">
        <f>IF(OR($S369="",$R369=""),"",ROUND(MAX(0,IF($W369="Straight-line",IF(N($V369)&lt;=0,0,($S369-N($U369))*MIN($AK369,$V369)/$V369),IF($W369="Reducing balance",MIN(($S369-N($U369)),$S369-$S369*(1-N($AG369))^INT($AK369/12)*(1-N($AG369)*MOD($AK369,12)/12)),IF($W369="DDB",IF(N($V369)&lt;=0,0,MIN(($S369-N($U369)),$S369-$S369*(1-MIN(1,24/$V369))^INT($AK369/12)*(1-MIN(1,24/$V369)*MOD($AK369,12)/12))),IF($W369="SYD",IF(N($V369)&lt;=0,0,($S369-N($U369))*(INT(MIN($AK369,$V369)/12)*(2*($V369/12)-INT(MIN($AK369,$V369)/12)+1)/2+MOD(MIN($AK369,$V369),12)/12*(($V369/12)-INT(MIN($AK369,$V369)/12)))/(($V369/12)*(($V369/12)+1)/2)),0))))),2))</f>
        <v/>
      </c>
      <c r="AM369" s="23">
        <f>IF($X369="","",$X369-$AL369)</f>
        <v/>
      </c>
      <c r="AN369" s="23">
        <f>IF(OR($AH369="",$Y369=""),"",N($AI369)-$Y369)</f>
        <v/>
      </c>
    </row>
    <row r="370">
      <c r="Q370" s="20" t="n"/>
      <c r="R370" s="20" t="n"/>
      <c r="S370" s="21" t="n"/>
      <c r="U370" s="21" t="n"/>
      <c r="V370" s="22" t="n"/>
      <c r="X370" s="23">
        <f>IF(OR($S370="",$R370=""),"",ROUND(MAX(0,IF($W370="Straight-line",IF(N($V370)&lt;=0,0,($S370-N($U370))*MIN($AJ370,$V370)/$V370),IF($W370="Reducing balance",MIN(($S370-N($U370)),$S370-$S370*(1-N($AG370))^INT($AJ370/12)*(1-N($AG370)*MOD($AJ370,12)/12)),IF($W370="DDB",IF(N($V370)&lt;=0,0,MIN(($S370-N($U370)),$S370-$S370*(1-MIN(1,24/$V370))^INT($AJ370/12)*(1-MIN(1,24/$V370)*MOD($AJ370,12)/12))),IF($W370="SYD",IF(N($V370)&lt;=0,0,($S370-N($U370))*(INT(MIN($AJ370,$V370)/12)*(2*($V370/12)-INT(MIN($AJ370,$V370)/12)+1)/2+MOD(MIN($AJ370,$V370),12)/12*(($V370/12)-INT(MIN($AJ370,$V370)/12)))/(($V370/12)*(($V370/12)+1)/2)),0))))),2))</f>
        <v/>
      </c>
      <c r="Y370" s="23">
        <f>IF($X370="","",$S370-$X370)</f>
        <v/>
      </c>
      <c r="AD370" s="20" t="n"/>
      <c r="AG370" s="24" t="n"/>
      <c r="AH370" s="20" t="n"/>
      <c r="AI370" s="21" t="n"/>
      <c r="AJ370" s="25">
        <f>IF($R370="","",IF($R370&gt;IF($AH370&lt;&gt;"",MIN($AH370,Settings!$B$3),Settings!$B$3),0,(YEAR(IF($AH370&lt;&gt;"",MIN($AH370,Settings!$B$3),Settings!$B$3))-YEAR($R370))*12+MONTH(IF($AH370&lt;&gt;"",MIN($AH370,Settings!$B$3),Settings!$B$3))-MONTH($R370)+1))</f>
        <v/>
      </c>
      <c r="AK370" s="25">
        <f>IF($R370="","",IF($R370&gt;MIN(Settings!$B$4-1,IF($AH370&lt;&gt;"",MIN($AH370,Settings!$B$3),Settings!$B$3)),0,(YEAR(MIN(Settings!$B$4-1,IF($AH370&lt;&gt;"",MIN($AH370,Settings!$B$3),Settings!$B$3)))-YEAR($R370))*12+MONTH(MIN(Settings!$B$4-1,IF($AH370&lt;&gt;"",MIN($AH370,Settings!$B$3),Settings!$B$3)))-MONTH($R370)+1))</f>
        <v/>
      </c>
      <c r="AL370" s="23">
        <f>IF(OR($S370="",$R370=""),"",ROUND(MAX(0,IF($W370="Straight-line",IF(N($V370)&lt;=0,0,($S370-N($U370))*MIN($AK370,$V370)/$V370),IF($W370="Reducing balance",MIN(($S370-N($U370)),$S370-$S370*(1-N($AG370))^INT($AK370/12)*(1-N($AG370)*MOD($AK370,12)/12)),IF($W370="DDB",IF(N($V370)&lt;=0,0,MIN(($S370-N($U370)),$S370-$S370*(1-MIN(1,24/$V370))^INT($AK370/12)*(1-MIN(1,24/$V370)*MOD($AK370,12)/12))),IF($W370="SYD",IF(N($V370)&lt;=0,0,($S370-N($U370))*(INT(MIN($AK370,$V370)/12)*(2*($V370/12)-INT(MIN($AK370,$V370)/12)+1)/2+MOD(MIN($AK370,$V370),12)/12*(($V370/12)-INT(MIN($AK370,$V370)/12)))/(($V370/12)*(($V370/12)+1)/2)),0))))),2))</f>
        <v/>
      </c>
      <c r="AM370" s="23">
        <f>IF($X370="","",$X370-$AL370)</f>
        <v/>
      </c>
      <c r="AN370" s="23">
        <f>IF(OR($AH370="",$Y370=""),"",N($AI370)-$Y370)</f>
        <v/>
      </c>
    </row>
    <row r="371">
      <c r="Q371" s="20" t="n"/>
      <c r="R371" s="20" t="n"/>
      <c r="S371" s="21" t="n"/>
      <c r="U371" s="21" t="n"/>
      <c r="V371" s="22" t="n"/>
      <c r="X371" s="23">
        <f>IF(OR($S371="",$R371=""),"",ROUND(MAX(0,IF($W371="Straight-line",IF(N($V371)&lt;=0,0,($S371-N($U371))*MIN($AJ371,$V371)/$V371),IF($W371="Reducing balance",MIN(($S371-N($U371)),$S371-$S371*(1-N($AG371))^INT($AJ371/12)*(1-N($AG371)*MOD($AJ371,12)/12)),IF($W371="DDB",IF(N($V371)&lt;=0,0,MIN(($S371-N($U371)),$S371-$S371*(1-MIN(1,24/$V371))^INT($AJ371/12)*(1-MIN(1,24/$V371)*MOD($AJ371,12)/12))),IF($W371="SYD",IF(N($V371)&lt;=0,0,($S371-N($U371))*(INT(MIN($AJ371,$V371)/12)*(2*($V371/12)-INT(MIN($AJ371,$V371)/12)+1)/2+MOD(MIN($AJ371,$V371),12)/12*(($V371/12)-INT(MIN($AJ371,$V371)/12)))/(($V371/12)*(($V371/12)+1)/2)),0))))),2))</f>
        <v/>
      </c>
      <c r="Y371" s="23">
        <f>IF($X371="","",$S371-$X371)</f>
        <v/>
      </c>
      <c r="AD371" s="20" t="n"/>
      <c r="AG371" s="24" t="n"/>
      <c r="AH371" s="20" t="n"/>
      <c r="AI371" s="21" t="n"/>
      <c r="AJ371" s="25">
        <f>IF($R371="","",IF($R371&gt;IF($AH371&lt;&gt;"",MIN($AH371,Settings!$B$3),Settings!$B$3),0,(YEAR(IF($AH371&lt;&gt;"",MIN($AH371,Settings!$B$3),Settings!$B$3))-YEAR($R371))*12+MONTH(IF($AH371&lt;&gt;"",MIN($AH371,Settings!$B$3),Settings!$B$3))-MONTH($R371)+1))</f>
        <v/>
      </c>
      <c r="AK371" s="25">
        <f>IF($R371="","",IF($R371&gt;MIN(Settings!$B$4-1,IF($AH371&lt;&gt;"",MIN($AH371,Settings!$B$3),Settings!$B$3)),0,(YEAR(MIN(Settings!$B$4-1,IF($AH371&lt;&gt;"",MIN($AH371,Settings!$B$3),Settings!$B$3)))-YEAR($R371))*12+MONTH(MIN(Settings!$B$4-1,IF($AH371&lt;&gt;"",MIN($AH371,Settings!$B$3),Settings!$B$3)))-MONTH($R371)+1))</f>
        <v/>
      </c>
      <c r="AL371" s="23">
        <f>IF(OR($S371="",$R371=""),"",ROUND(MAX(0,IF($W371="Straight-line",IF(N($V371)&lt;=0,0,($S371-N($U371))*MIN($AK371,$V371)/$V371),IF($W371="Reducing balance",MIN(($S371-N($U371)),$S371-$S371*(1-N($AG371))^INT($AK371/12)*(1-N($AG371)*MOD($AK371,12)/12)),IF($W371="DDB",IF(N($V371)&lt;=0,0,MIN(($S371-N($U371)),$S371-$S371*(1-MIN(1,24/$V371))^INT($AK371/12)*(1-MIN(1,24/$V371)*MOD($AK371,12)/12))),IF($W371="SYD",IF(N($V371)&lt;=0,0,($S371-N($U371))*(INT(MIN($AK371,$V371)/12)*(2*($V371/12)-INT(MIN($AK371,$V371)/12)+1)/2+MOD(MIN($AK371,$V371),12)/12*(($V371/12)-INT(MIN($AK371,$V371)/12)))/(($V371/12)*(($V371/12)+1)/2)),0))))),2))</f>
        <v/>
      </c>
      <c r="AM371" s="23">
        <f>IF($X371="","",$X371-$AL371)</f>
        <v/>
      </c>
      <c r="AN371" s="23">
        <f>IF(OR($AH371="",$Y371=""),"",N($AI371)-$Y371)</f>
        <v/>
      </c>
    </row>
    <row r="372">
      <c r="Q372" s="20" t="n"/>
      <c r="R372" s="20" t="n"/>
      <c r="S372" s="21" t="n"/>
      <c r="U372" s="21" t="n"/>
      <c r="V372" s="22" t="n"/>
      <c r="X372" s="23">
        <f>IF(OR($S372="",$R372=""),"",ROUND(MAX(0,IF($W372="Straight-line",IF(N($V372)&lt;=0,0,($S372-N($U372))*MIN($AJ372,$V372)/$V372),IF($W372="Reducing balance",MIN(($S372-N($U372)),$S372-$S372*(1-N($AG372))^INT($AJ372/12)*(1-N($AG372)*MOD($AJ372,12)/12)),IF($W372="DDB",IF(N($V372)&lt;=0,0,MIN(($S372-N($U372)),$S372-$S372*(1-MIN(1,24/$V372))^INT($AJ372/12)*(1-MIN(1,24/$V372)*MOD($AJ372,12)/12))),IF($W372="SYD",IF(N($V372)&lt;=0,0,($S372-N($U372))*(INT(MIN($AJ372,$V372)/12)*(2*($V372/12)-INT(MIN($AJ372,$V372)/12)+1)/2+MOD(MIN($AJ372,$V372),12)/12*(($V372/12)-INT(MIN($AJ372,$V372)/12)))/(($V372/12)*(($V372/12)+1)/2)),0))))),2))</f>
        <v/>
      </c>
      <c r="Y372" s="23">
        <f>IF($X372="","",$S372-$X372)</f>
        <v/>
      </c>
      <c r="AD372" s="20" t="n"/>
      <c r="AG372" s="24" t="n"/>
      <c r="AH372" s="20" t="n"/>
      <c r="AI372" s="21" t="n"/>
      <c r="AJ372" s="25">
        <f>IF($R372="","",IF($R372&gt;IF($AH372&lt;&gt;"",MIN($AH372,Settings!$B$3),Settings!$B$3),0,(YEAR(IF($AH372&lt;&gt;"",MIN($AH372,Settings!$B$3),Settings!$B$3))-YEAR($R372))*12+MONTH(IF($AH372&lt;&gt;"",MIN($AH372,Settings!$B$3),Settings!$B$3))-MONTH($R372)+1))</f>
        <v/>
      </c>
      <c r="AK372" s="25">
        <f>IF($R372="","",IF($R372&gt;MIN(Settings!$B$4-1,IF($AH372&lt;&gt;"",MIN($AH372,Settings!$B$3),Settings!$B$3)),0,(YEAR(MIN(Settings!$B$4-1,IF($AH372&lt;&gt;"",MIN($AH372,Settings!$B$3),Settings!$B$3)))-YEAR($R372))*12+MONTH(MIN(Settings!$B$4-1,IF($AH372&lt;&gt;"",MIN($AH372,Settings!$B$3),Settings!$B$3)))-MONTH($R372)+1))</f>
        <v/>
      </c>
      <c r="AL372" s="23">
        <f>IF(OR($S372="",$R372=""),"",ROUND(MAX(0,IF($W372="Straight-line",IF(N($V372)&lt;=0,0,($S372-N($U372))*MIN($AK372,$V372)/$V372),IF($W372="Reducing balance",MIN(($S372-N($U372)),$S372-$S372*(1-N($AG372))^INT($AK372/12)*(1-N($AG372)*MOD($AK372,12)/12)),IF($W372="DDB",IF(N($V372)&lt;=0,0,MIN(($S372-N($U372)),$S372-$S372*(1-MIN(1,24/$V372))^INT($AK372/12)*(1-MIN(1,24/$V372)*MOD($AK372,12)/12))),IF($W372="SYD",IF(N($V372)&lt;=0,0,($S372-N($U372))*(INT(MIN($AK372,$V372)/12)*(2*($V372/12)-INT(MIN($AK372,$V372)/12)+1)/2+MOD(MIN($AK372,$V372),12)/12*(($V372/12)-INT(MIN($AK372,$V372)/12)))/(($V372/12)*(($V372/12)+1)/2)),0))))),2))</f>
        <v/>
      </c>
      <c r="AM372" s="23">
        <f>IF($X372="","",$X372-$AL372)</f>
        <v/>
      </c>
      <c r="AN372" s="23">
        <f>IF(OR($AH372="",$Y372=""),"",N($AI372)-$Y372)</f>
        <v/>
      </c>
    </row>
    <row r="373">
      <c r="Q373" s="20" t="n"/>
      <c r="R373" s="20" t="n"/>
      <c r="S373" s="21" t="n"/>
      <c r="U373" s="21" t="n"/>
      <c r="V373" s="22" t="n"/>
      <c r="X373" s="23">
        <f>IF(OR($S373="",$R373=""),"",ROUND(MAX(0,IF($W373="Straight-line",IF(N($V373)&lt;=0,0,($S373-N($U373))*MIN($AJ373,$V373)/$V373),IF($W373="Reducing balance",MIN(($S373-N($U373)),$S373-$S373*(1-N($AG373))^INT($AJ373/12)*(1-N($AG373)*MOD($AJ373,12)/12)),IF($W373="DDB",IF(N($V373)&lt;=0,0,MIN(($S373-N($U373)),$S373-$S373*(1-MIN(1,24/$V373))^INT($AJ373/12)*(1-MIN(1,24/$V373)*MOD($AJ373,12)/12))),IF($W373="SYD",IF(N($V373)&lt;=0,0,($S373-N($U373))*(INT(MIN($AJ373,$V373)/12)*(2*($V373/12)-INT(MIN($AJ373,$V373)/12)+1)/2+MOD(MIN($AJ373,$V373),12)/12*(($V373/12)-INT(MIN($AJ373,$V373)/12)))/(($V373/12)*(($V373/12)+1)/2)),0))))),2))</f>
        <v/>
      </c>
      <c r="Y373" s="23">
        <f>IF($X373="","",$S373-$X373)</f>
        <v/>
      </c>
      <c r="AD373" s="20" t="n"/>
      <c r="AG373" s="24" t="n"/>
      <c r="AH373" s="20" t="n"/>
      <c r="AI373" s="21" t="n"/>
      <c r="AJ373" s="25">
        <f>IF($R373="","",IF($R373&gt;IF($AH373&lt;&gt;"",MIN($AH373,Settings!$B$3),Settings!$B$3),0,(YEAR(IF($AH373&lt;&gt;"",MIN($AH373,Settings!$B$3),Settings!$B$3))-YEAR($R373))*12+MONTH(IF($AH373&lt;&gt;"",MIN($AH373,Settings!$B$3),Settings!$B$3))-MONTH($R373)+1))</f>
        <v/>
      </c>
      <c r="AK373" s="25">
        <f>IF($R373="","",IF($R373&gt;MIN(Settings!$B$4-1,IF($AH373&lt;&gt;"",MIN($AH373,Settings!$B$3),Settings!$B$3)),0,(YEAR(MIN(Settings!$B$4-1,IF($AH373&lt;&gt;"",MIN($AH373,Settings!$B$3),Settings!$B$3)))-YEAR($R373))*12+MONTH(MIN(Settings!$B$4-1,IF($AH373&lt;&gt;"",MIN($AH373,Settings!$B$3),Settings!$B$3)))-MONTH($R373)+1))</f>
        <v/>
      </c>
      <c r="AL373" s="23">
        <f>IF(OR($S373="",$R373=""),"",ROUND(MAX(0,IF($W373="Straight-line",IF(N($V373)&lt;=0,0,($S373-N($U373))*MIN($AK373,$V373)/$V373),IF($W373="Reducing balance",MIN(($S373-N($U373)),$S373-$S373*(1-N($AG373))^INT($AK373/12)*(1-N($AG373)*MOD($AK373,12)/12)),IF($W373="DDB",IF(N($V373)&lt;=0,0,MIN(($S373-N($U373)),$S373-$S373*(1-MIN(1,24/$V373))^INT($AK373/12)*(1-MIN(1,24/$V373)*MOD($AK373,12)/12))),IF($W373="SYD",IF(N($V373)&lt;=0,0,($S373-N($U373))*(INT(MIN($AK373,$V373)/12)*(2*($V373/12)-INT(MIN($AK373,$V373)/12)+1)/2+MOD(MIN($AK373,$V373),12)/12*(($V373/12)-INT(MIN($AK373,$V373)/12)))/(($V373/12)*(($V373/12)+1)/2)),0))))),2))</f>
        <v/>
      </c>
      <c r="AM373" s="23">
        <f>IF($X373="","",$X373-$AL373)</f>
        <v/>
      </c>
      <c r="AN373" s="23">
        <f>IF(OR($AH373="",$Y373=""),"",N($AI373)-$Y373)</f>
        <v/>
      </c>
    </row>
    <row r="374">
      <c r="Q374" s="20" t="n"/>
      <c r="R374" s="20" t="n"/>
      <c r="S374" s="21" t="n"/>
      <c r="U374" s="21" t="n"/>
      <c r="V374" s="22" t="n"/>
      <c r="X374" s="23">
        <f>IF(OR($S374="",$R374=""),"",ROUND(MAX(0,IF($W374="Straight-line",IF(N($V374)&lt;=0,0,($S374-N($U374))*MIN($AJ374,$V374)/$V374),IF($W374="Reducing balance",MIN(($S374-N($U374)),$S374-$S374*(1-N($AG374))^INT($AJ374/12)*(1-N($AG374)*MOD($AJ374,12)/12)),IF($W374="DDB",IF(N($V374)&lt;=0,0,MIN(($S374-N($U374)),$S374-$S374*(1-MIN(1,24/$V374))^INT($AJ374/12)*(1-MIN(1,24/$V374)*MOD($AJ374,12)/12))),IF($W374="SYD",IF(N($V374)&lt;=0,0,($S374-N($U374))*(INT(MIN($AJ374,$V374)/12)*(2*($V374/12)-INT(MIN($AJ374,$V374)/12)+1)/2+MOD(MIN($AJ374,$V374),12)/12*(($V374/12)-INT(MIN($AJ374,$V374)/12)))/(($V374/12)*(($V374/12)+1)/2)),0))))),2))</f>
        <v/>
      </c>
      <c r="Y374" s="23">
        <f>IF($X374="","",$S374-$X374)</f>
        <v/>
      </c>
      <c r="AD374" s="20" t="n"/>
      <c r="AG374" s="24" t="n"/>
      <c r="AH374" s="20" t="n"/>
      <c r="AI374" s="21" t="n"/>
      <c r="AJ374" s="25">
        <f>IF($R374="","",IF($R374&gt;IF($AH374&lt;&gt;"",MIN($AH374,Settings!$B$3),Settings!$B$3),0,(YEAR(IF($AH374&lt;&gt;"",MIN($AH374,Settings!$B$3),Settings!$B$3))-YEAR($R374))*12+MONTH(IF($AH374&lt;&gt;"",MIN($AH374,Settings!$B$3),Settings!$B$3))-MONTH($R374)+1))</f>
        <v/>
      </c>
      <c r="AK374" s="25">
        <f>IF($R374="","",IF($R374&gt;MIN(Settings!$B$4-1,IF($AH374&lt;&gt;"",MIN($AH374,Settings!$B$3),Settings!$B$3)),0,(YEAR(MIN(Settings!$B$4-1,IF($AH374&lt;&gt;"",MIN($AH374,Settings!$B$3),Settings!$B$3)))-YEAR($R374))*12+MONTH(MIN(Settings!$B$4-1,IF($AH374&lt;&gt;"",MIN($AH374,Settings!$B$3),Settings!$B$3)))-MONTH($R374)+1))</f>
        <v/>
      </c>
      <c r="AL374" s="23">
        <f>IF(OR($S374="",$R374=""),"",ROUND(MAX(0,IF($W374="Straight-line",IF(N($V374)&lt;=0,0,($S374-N($U374))*MIN($AK374,$V374)/$V374),IF($W374="Reducing balance",MIN(($S374-N($U374)),$S374-$S374*(1-N($AG374))^INT($AK374/12)*(1-N($AG374)*MOD($AK374,12)/12)),IF($W374="DDB",IF(N($V374)&lt;=0,0,MIN(($S374-N($U374)),$S374-$S374*(1-MIN(1,24/$V374))^INT($AK374/12)*(1-MIN(1,24/$V374)*MOD($AK374,12)/12))),IF($W374="SYD",IF(N($V374)&lt;=0,0,($S374-N($U374))*(INT(MIN($AK374,$V374)/12)*(2*($V374/12)-INT(MIN($AK374,$V374)/12)+1)/2+MOD(MIN($AK374,$V374),12)/12*(($V374/12)-INT(MIN($AK374,$V374)/12)))/(($V374/12)*(($V374/12)+1)/2)),0))))),2))</f>
        <v/>
      </c>
      <c r="AM374" s="23">
        <f>IF($X374="","",$X374-$AL374)</f>
        <v/>
      </c>
      <c r="AN374" s="23">
        <f>IF(OR($AH374="",$Y374=""),"",N($AI374)-$Y374)</f>
        <v/>
      </c>
    </row>
    <row r="375">
      <c r="Q375" s="20" t="n"/>
      <c r="R375" s="20" t="n"/>
      <c r="S375" s="21" t="n"/>
      <c r="U375" s="21" t="n"/>
      <c r="V375" s="22" t="n"/>
      <c r="X375" s="23">
        <f>IF(OR($S375="",$R375=""),"",ROUND(MAX(0,IF($W375="Straight-line",IF(N($V375)&lt;=0,0,($S375-N($U375))*MIN($AJ375,$V375)/$V375),IF($W375="Reducing balance",MIN(($S375-N($U375)),$S375-$S375*(1-N($AG375))^INT($AJ375/12)*(1-N($AG375)*MOD($AJ375,12)/12)),IF($W375="DDB",IF(N($V375)&lt;=0,0,MIN(($S375-N($U375)),$S375-$S375*(1-MIN(1,24/$V375))^INT($AJ375/12)*(1-MIN(1,24/$V375)*MOD($AJ375,12)/12))),IF($W375="SYD",IF(N($V375)&lt;=0,0,($S375-N($U375))*(INT(MIN($AJ375,$V375)/12)*(2*($V375/12)-INT(MIN($AJ375,$V375)/12)+1)/2+MOD(MIN($AJ375,$V375),12)/12*(($V375/12)-INT(MIN($AJ375,$V375)/12)))/(($V375/12)*(($V375/12)+1)/2)),0))))),2))</f>
        <v/>
      </c>
      <c r="Y375" s="23">
        <f>IF($X375="","",$S375-$X375)</f>
        <v/>
      </c>
      <c r="AD375" s="20" t="n"/>
      <c r="AG375" s="24" t="n"/>
      <c r="AH375" s="20" t="n"/>
      <c r="AI375" s="21" t="n"/>
      <c r="AJ375" s="25">
        <f>IF($R375="","",IF($R375&gt;IF($AH375&lt;&gt;"",MIN($AH375,Settings!$B$3),Settings!$B$3),0,(YEAR(IF($AH375&lt;&gt;"",MIN($AH375,Settings!$B$3),Settings!$B$3))-YEAR($R375))*12+MONTH(IF($AH375&lt;&gt;"",MIN($AH375,Settings!$B$3),Settings!$B$3))-MONTH($R375)+1))</f>
        <v/>
      </c>
      <c r="AK375" s="25">
        <f>IF($R375="","",IF($R375&gt;MIN(Settings!$B$4-1,IF($AH375&lt;&gt;"",MIN($AH375,Settings!$B$3),Settings!$B$3)),0,(YEAR(MIN(Settings!$B$4-1,IF($AH375&lt;&gt;"",MIN($AH375,Settings!$B$3),Settings!$B$3)))-YEAR($R375))*12+MONTH(MIN(Settings!$B$4-1,IF($AH375&lt;&gt;"",MIN($AH375,Settings!$B$3),Settings!$B$3)))-MONTH($R375)+1))</f>
        <v/>
      </c>
      <c r="AL375" s="23">
        <f>IF(OR($S375="",$R375=""),"",ROUND(MAX(0,IF($W375="Straight-line",IF(N($V375)&lt;=0,0,($S375-N($U375))*MIN($AK375,$V375)/$V375),IF($W375="Reducing balance",MIN(($S375-N($U375)),$S375-$S375*(1-N($AG375))^INT($AK375/12)*(1-N($AG375)*MOD($AK375,12)/12)),IF($W375="DDB",IF(N($V375)&lt;=0,0,MIN(($S375-N($U375)),$S375-$S375*(1-MIN(1,24/$V375))^INT($AK375/12)*(1-MIN(1,24/$V375)*MOD($AK375,12)/12))),IF($W375="SYD",IF(N($V375)&lt;=0,0,($S375-N($U375))*(INT(MIN($AK375,$V375)/12)*(2*($V375/12)-INT(MIN($AK375,$V375)/12)+1)/2+MOD(MIN($AK375,$V375),12)/12*(($V375/12)-INT(MIN($AK375,$V375)/12)))/(($V375/12)*(($V375/12)+1)/2)),0))))),2))</f>
        <v/>
      </c>
      <c r="AM375" s="23">
        <f>IF($X375="","",$X375-$AL375)</f>
        <v/>
      </c>
      <c r="AN375" s="23">
        <f>IF(OR($AH375="",$Y375=""),"",N($AI375)-$Y375)</f>
        <v/>
      </c>
    </row>
    <row r="376">
      <c r="Q376" s="20" t="n"/>
      <c r="R376" s="20" t="n"/>
      <c r="S376" s="21" t="n"/>
      <c r="U376" s="21" t="n"/>
      <c r="V376" s="22" t="n"/>
      <c r="X376" s="23">
        <f>IF(OR($S376="",$R376=""),"",ROUND(MAX(0,IF($W376="Straight-line",IF(N($V376)&lt;=0,0,($S376-N($U376))*MIN($AJ376,$V376)/$V376),IF($W376="Reducing balance",MIN(($S376-N($U376)),$S376-$S376*(1-N($AG376))^INT($AJ376/12)*(1-N($AG376)*MOD($AJ376,12)/12)),IF($W376="DDB",IF(N($V376)&lt;=0,0,MIN(($S376-N($U376)),$S376-$S376*(1-MIN(1,24/$V376))^INT($AJ376/12)*(1-MIN(1,24/$V376)*MOD($AJ376,12)/12))),IF($W376="SYD",IF(N($V376)&lt;=0,0,($S376-N($U376))*(INT(MIN($AJ376,$V376)/12)*(2*($V376/12)-INT(MIN($AJ376,$V376)/12)+1)/2+MOD(MIN($AJ376,$V376),12)/12*(($V376/12)-INT(MIN($AJ376,$V376)/12)))/(($V376/12)*(($V376/12)+1)/2)),0))))),2))</f>
        <v/>
      </c>
      <c r="Y376" s="23">
        <f>IF($X376="","",$S376-$X376)</f>
        <v/>
      </c>
      <c r="AD376" s="20" t="n"/>
      <c r="AG376" s="24" t="n"/>
      <c r="AH376" s="20" t="n"/>
      <c r="AI376" s="21" t="n"/>
      <c r="AJ376" s="25">
        <f>IF($R376="","",IF($R376&gt;IF($AH376&lt;&gt;"",MIN($AH376,Settings!$B$3),Settings!$B$3),0,(YEAR(IF($AH376&lt;&gt;"",MIN($AH376,Settings!$B$3),Settings!$B$3))-YEAR($R376))*12+MONTH(IF($AH376&lt;&gt;"",MIN($AH376,Settings!$B$3),Settings!$B$3))-MONTH($R376)+1))</f>
        <v/>
      </c>
      <c r="AK376" s="25">
        <f>IF($R376="","",IF($R376&gt;MIN(Settings!$B$4-1,IF($AH376&lt;&gt;"",MIN($AH376,Settings!$B$3),Settings!$B$3)),0,(YEAR(MIN(Settings!$B$4-1,IF($AH376&lt;&gt;"",MIN($AH376,Settings!$B$3),Settings!$B$3)))-YEAR($R376))*12+MONTH(MIN(Settings!$B$4-1,IF($AH376&lt;&gt;"",MIN($AH376,Settings!$B$3),Settings!$B$3)))-MONTH($R376)+1))</f>
        <v/>
      </c>
      <c r="AL376" s="23">
        <f>IF(OR($S376="",$R376=""),"",ROUND(MAX(0,IF($W376="Straight-line",IF(N($V376)&lt;=0,0,($S376-N($U376))*MIN($AK376,$V376)/$V376),IF($W376="Reducing balance",MIN(($S376-N($U376)),$S376-$S376*(1-N($AG376))^INT($AK376/12)*(1-N($AG376)*MOD($AK376,12)/12)),IF($W376="DDB",IF(N($V376)&lt;=0,0,MIN(($S376-N($U376)),$S376-$S376*(1-MIN(1,24/$V376))^INT($AK376/12)*(1-MIN(1,24/$V376)*MOD($AK376,12)/12))),IF($W376="SYD",IF(N($V376)&lt;=0,0,($S376-N($U376))*(INT(MIN($AK376,$V376)/12)*(2*($V376/12)-INT(MIN($AK376,$V376)/12)+1)/2+MOD(MIN($AK376,$V376),12)/12*(($V376/12)-INT(MIN($AK376,$V376)/12)))/(($V376/12)*(($V376/12)+1)/2)),0))))),2))</f>
        <v/>
      </c>
      <c r="AM376" s="23">
        <f>IF($X376="","",$X376-$AL376)</f>
        <v/>
      </c>
      <c r="AN376" s="23">
        <f>IF(OR($AH376="",$Y376=""),"",N($AI376)-$Y376)</f>
        <v/>
      </c>
    </row>
    <row r="377">
      <c r="Q377" s="20" t="n"/>
      <c r="R377" s="20" t="n"/>
      <c r="S377" s="21" t="n"/>
      <c r="U377" s="21" t="n"/>
      <c r="V377" s="22" t="n"/>
      <c r="X377" s="23">
        <f>IF(OR($S377="",$R377=""),"",ROUND(MAX(0,IF($W377="Straight-line",IF(N($V377)&lt;=0,0,($S377-N($U377))*MIN($AJ377,$V377)/$V377),IF($W377="Reducing balance",MIN(($S377-N($U377)),$S377-$S377*(1-N($AG377))^INT($AJ377/12)*(1-N($AG377)*MOD($AJ377,12)/12)),IF($W377="DDB",IF(N($V377)&lt;=0,0,MIN(($S377-N($U377)),$S377-$S377*(1-MIN(1,24/$V377))^INT($AJ377/12)*(1-MIN(1,24/$V377)*MOD($AJ377,12)/12))),IF($W377="SYD",IF(N($V377)&lt;=0,0,($S377-N($U377))*(INT(MIN($AJ377,$V377)/12)*(2*($V377/12)-INT(MIN($AJ377,$V377)/12)+1)/2+MOD(MIN($AJ377,$V377),12)/12*(($V377/12)-INT(MIN($AJ377,$V377)/12)))/(($V377/12)*(($V377/12)+1)/2)),0))))),2))</f>
        <v/>
      </c>
      <c r="Y377" s="23">
        <f>IF($X377="","",$S377-$X377)</f>
        <v/>
      </c>
      <c r="AD377" s="20" t="n"/>
      <c r="AG377" s="24" t="n"/>
      <c r="AH377" s="20" t="n"/>
      <c r="AI377" s="21" t="n"/>
      <c r="AJ377" s="25">
        <f>IF($R377="","",IF($R377&gt;IF($AH377&lt;&gt;"",MIN($AH377,Settings!$B$3),Settings!$B$3),0,(YEAR(IF($AH377&lt;&gt;"",MIN($AH377,Settings!$B$3),Settings!$B$3))-YEAR($R377))*12+MONTH(IF($AH377&lt;&gt;"",MIN($AH377,Settings!$B$3),Settings!$B$3))-MONTH($R377)+1))</f>
        <v/>
      </c>
      <c r="AK377" s="25">
        <f>IF($R377="","",IF($R377&gt;MIN(Settings!$B$4-1,IF($AH377&lt;&gt;"",MIN($AH377,Settings!$B$3),Settings!$B$3)),0,(YEAR(MIN(Settings!$B$4-1,IF($AH377&lt;&gt;"",MIN($AH377,Settings!$B$3),Settings!$B$3)))-YEAR($R377))*12+MONTH(MIN(Settings!$B$4-1,IF($AH377&lt;&gt;"",MIN($AH377,Settings!$B$3),Settings!$B$3)))-MONTH($R377)+1))</f>
        <v/>
      </c>
      <c r="AL377" s="23">
        <f>IF(OR($S377="",$R377=""),"",ROUND(MAX(0,IF($W377="Straight-line",IF(N($V377)&lt;=0,0,($S377-N($U377))*MIN($AK377,$V377)/$V377),IF($W377="Reducing balance",MIN(($S377-N($U377)),$S377-$S377*(1-N($AG377))^INT($AK377/12)*(1-N($AG377)*MOD($AK377,12)/12)),IF($W377="DDB",IF(N($V377)&lt;=0,0,MIN(($S377-N($U377)),$S377-$S377*(1-MIN(1,24/$V377))^INT($AK377/12)*(1-MIN(1,24/$V377)*MOD($AK377,12)/12))),IF($W377="SYD",IF(N($V377)&lt;=0,0,($S377-N($U377))*(INT(MIN($AK377,$V377)/12)*(2*($V377/12)-INT(MIN($AK377,$V377)/12)+1)/2+MOD(MIN($AK377,$V377),12)/12*(($V377/12)-INT(MIN($AK377,$V377)/12)))/(($V377/12)*(($V377/12)+1)/2)),0))))),2))</f>
        <v/>
      </c>
      <c r="AM377" s="23">
        <f>IF($X377="","",$X377-$AL377)</f>
        <v/>
      </c>
      <c r="AN377" s="23">
        <f>IF(OR($AH377="",$Y377=""),"",N($AI377)-$Y377)</f>
        <v/>
      </c>
    </row>
    <row r="378">
      <c r="Q378" s="20" t="n"/>
      <c r="R378" s="20" t="n"/>
      <c r="S378" s="21" t="n"/>
      <c r="U378" s="21" t="n"/>
      <c r="V378" s="22" t="n"/>
      <c r="X378" s="23">
        <f>IF(OR($S378="",$R378=""),"",ROUND(MAX(0,IF($W378="Straight-line",IF(N($V378)&lt;=0,0,($S378-N($U378))*MIN($AJ378,$V378)/$V378),IF($W378="Reducing balance",MIN(($S378-N($U378)),$S378-$S378*(1-N($AG378))^INT($AJ378/12)*(1-N($AG378)*MOD($AJ378,12)/12)),IF($W378="DDB",IF(N($V378)&lt;=0,0,MIN(($S378-N($U378)),$S378-$S378*(1-MIN(1,24/$V378))^INT($AJ378/12)*(1-MIN(1,24/$V378)*MOD($AJ378,12)/12))),IF($W378="SYD",IF(N($V378)&lt;=0,0,($S378-N($U378))*(INT(MIN($AJ378,$V378)/12)*(2*($V378/12)-INT(MIN($AJ378,$V378)/12)+1)/2+MOD(MIN($AJ378,$V378),12)/12*(($V378/12)-INT(MIN($AJ378,$V378)/12)))/(($V378/12)*(($V378/12)+1)/2)),0))))),2))</f>
        <v/>
      </c>
      <c r="Y378" s="23">
        <f>IF($X378="","",$S378-$X378)</f>
        <v/>
      </c>
      <c r="AD378" s="20" t="n"/>
      <c r="AG378" s="24" t="n"/>
      <c r="AH378" s="20" t="n"/>
      <c r="AI378" s="21" t="n"/>
      <c r="AJ378" s="25">
        <f>IF($R378="","",IF($R378&gt;IF($AH378&lt;&gt;"",MIN($AH378,Settings!$B$3),Settings!$B$3),0,(YEAR(IF($AH378&lt;&gt;"",MIN($AH378,Settings!$B$3),Settings!$B$3))-YEAR($R378))*12+MONTH(IF($AH378&lt;&gt;"",MIN($AH378,Settings!$B$3),Settings!$B$3))-MONTH($R378)+1))</f>
        <v/>
      </c>
      <c r="AK378" s="25">
        <f>IF($R378="","",IF($R378&gt;MIN(Settings!$B$4-1,IF($AH378&lt;&gt;"",MIN($AH378,Settings!$B$3),Settings!$B$3)),0,(YEAR(MIN(Settings!$B$4-1,IF($AH378&lt;&gt;"",MIN($AH378,Settings!$B$3),Settings!$B$3)))-YEAR($R378))*12+MONTH(MIN(Settings!$B$4-1,IF($AH378&lt;&gt;"",MIN($AH378,Settings!$B$3),Settings!$B$3)))-MONTH($R378)+1))</f>
        <v/>
      </c>
      <c r="AL378" s="23">
        <f>IF(OR($S378="",$R378=""),"",ROUND(MAX(0,IF($W378="Straight-line",IF(N($V378)&lt;=0,0,($S378-N($U378))*MIN($AK378,$V378)/$V378),IF($W378="Reducing balance",MIN(($S378-N($U378)),$S378-$S378*(1-N($AG378))^INT($AK378/12)*(1-N($AG378)*MOD($AK378,12)/12)),IF($W378="DDB",IF(N($V378)&lt;=0,0,MIN(($S378-N($U378)),$S378-$S378*(1-MIN(1,24/$V378))^INT($AK378/12)*(1-MIN(1,24/$V378)*MOD($AK378,12)/12))),IF($W378="SYD",IF(N($V378)&lt;=0,0,($S378-N($U378))*(INT(MIN($AK378,$V378)/12)*(2*($V378/12)-INT(MIN($AK378,$V378)/12)+1)/2+MOD(MIN($AK378,$V378),12)/12*(($V378/12)-INT(MIN($AK378,$V378)/12)))/(($V378/12)*(($V378/12)+1)/2)),0))))),2))</f>
        <v/>
      </c>
      <c r="AM378" s="23">
        <f>IF($X378="","",$X378-$AL378)</f>
        <v/>
      </c>
      <c r="AN378" s="23">
        <f>IF(OR($AH378="",$Y378=""),"",N($AI378)-$Y378)</f>
        <v/>
      </c>
    </row>
    <row r="379">
      <c r="Q379" s="20" t="n"/>
      <c r="R379" s="20" t="n"/>
      <c r="S379" s="21" t="n"/>
      <c r="U379" s="21" t="n"/>
      <c r="V379" s="22" t="n"/>
      <c r="X379" s="23">
        <f>IF(OR($S379="",$R379=""),"",ROUND(MAX(0,IF($W379="Straight-line",IF(N($V379)&lt;=0,0,($S379-N($U379))*MIN($AJ379,$V379)/$V379),IF($W379="Reducing balance",MIN(($S379-N($U379)),$S379-$S379*(1-N($AG379))^INT($AJ379/12)*(1-N($AG379)*MOD($AJ379,12)/12)),IF($W379="DDB",IF(N($V379)&lt;=0,0,MIN(($S379-N($U379)),$S379-$S379*(1-MIN(1,24/$V379))^INT($AJ379/12)*(1-MIN(1,24/$V379)*MOD($AJ379,12)/12))),IF($W379="SYD",IF(N($V379)&lt;=0,0,($S379-N($U379))*(INT(MIN($AJ379,$V379)/12)*(2*($V379/12)-INT(MIN($AJ379,$V379)/12)+1)/2+MOD(MIN($AJ379,$V379),12)/12*(($V379/12)-INT(MIN($AJ379,$V379)/12)))/(($V379/12)*(($V379/12)+1)/2)),0))))),2))</f>
        <v/>
      </c>
      <c r="Y379" s="23">
        <f>IF($X379="","",$S379-$X379)</f>
        <v/>
      </c>
      <c r="AD379" s="20" t="n"/>
      <c r="AG379" s="24" t="n"/>
      <c r="AH379" s="20" t="n"/>
      <c r="AI379" s="21" t="n"/>
      <c r="AJ379" s="25">
        <f>IF($R379="","",IF($R379&gt;IF($AH379&lt;&gt;"",MIN($AH379,Settings!$B$3),Settings!$B$3),0,(YEAR(IF($AH379&lt;&gt;"",MIN($AH379,Settings!$B$3),Settings!$B$3))-YEAR($R379))*12+MONTH(IF($AH379&lt;&gt;"",MIN($AH379,Settings!$B$3),Settings!$B$3))-MONTH($R379)+1))</f>
        <v/>
      </c>
      <c r="AK379" s="25">
        <f>IF($R379="","",IF($R379&gt;MIN(Settings!$B$4-1,IF($AH379&lt;&gt;"",MIN($AH379,Settings!$B$3),Settings!$B$3)),0,(YEAR(MIN(Settings!$B$4-1,IF($AH379&lt;&gt;"",MIN($AH379,Settings!$B$3),Settings!$B$3)))-YEAR($R379))*12+MONTH(MIN(Settings!$B$4-1,IF($AH379&lt;&gt;"",MIN($AH379,Settings!$B$3),Settings!$B$3)))-MONTH($R379)+1))</f>
        <v/>
      </c>
      <c r="AL379" s="23">
        <f>IF(OR($S379="",$R379=""),"",ROUND(MAX(0,IF($W379="Straight-line",IF(N($V379)&lt;=0,0,($S379-N($U379))*MIN($AK379,$V379)/$V379),IF($W379="Reducing balance",MIN(($S379-N($U379)),$S379-$S379*(1-N($AG379))^INT($AK379/12)*(1-N($AG379)*MOD($AK379,12)/12)),IF($W379="DDB",IF(N($V379)&lt;=0,0,MIN(($S379-N($U379)),$S379-$S379*(1-MIN(1,24/$V379))^INT($AK379/12)*(1-MIN(1,24/$V379)*MOD($AK379,12)/12))),IF($W379="SYD",IF(N($V379)&lt;=0,0,($S379-N($U379))*(INT(MIN($AK379,$V379)/12)*(2*($V379/12)-INT(MIN($AK379,$V379)/12)+1)/2+MOD(MIN($AK379,$V379),12)/12*(($V379/12)-INT(MIN($AK379,$V379)/12)))/(($V379/12)*(($V379/12)+1)/2)),0))))),2))</f>
        <v/>
      </c>
      <c r="AM379" s="23">
        <f>IF($X379="","",$X379-$AL379)</f>
        <v/>
      </c>
      <c r="AN379" s="23">
        <f>IF(OR($AH379="",$Y379=""),"",N($AI379)-$Y379)</f>
        <v/>
      </c>
    </row>
    <row r="380">
      <c r="Q380" s="20" t="n"/>
      <c r="R380" s="20" t="n"/>
      <c r="S380" s="21" t="n"/>
      <c r="U380" s="21" t="n"/>
      <c r="V380" s="22" t="n"/>
      <c r="X380" s="23">
        <f>IF(OR($S380="",$R380=""),"",ROUND(MAX(0,IF($W380="Straight-line",IF(N($V380)&lt;=0,0,($S380-N($U380))*MIN($AJ380,$V380)/$V380),IF($W380="Reducing balance",MIN(($S380-N($U380)),$S380-$S380*(1-N($AG380))^INT($AJ380/12)*(1-N($AG380)*MOD($AJ380,12)/12)),IF($W380="DDB",IF(N($V380)&lt;=0,0,MIN(($S380-N($U380)),$S380-$S380*(1-MIN(1,24/$V380))^INT($AJ380/12)*(1-MIN(1,24/$V380)*MOD($AJ380,12)/12))),IF($W380="SYD",IF(N($V380)&lt;=0,0,($S380-N($U380))*(INT(MIN($AJ380,$V380)/12)*(2*($V380/12)-INT(MIN($AJ380,$V380)/12)+1)/2+MOD(MIN($AJ380,$V380),12)/12*(($V380/12)-INT(MIN($AJ380,$V380)/12)))/(($V380/12)*(($V380/12)+1)/2)),0))))),2))</f>
        <v/>
      </c>
      <c r="Y380" s="23">
        <f>IF($X380="","",$S380-$X380)</f>
        <v/>
      </c>
      <c r="AD380" s="20" t="n"/>
      <c r="AG380" s="24" t="n"/>
      <c r="AH380" s="20" t="n"/>
      <c r="AI380" s="21" t="n"/>
      <c r="AJ380" s="25">
        <f>IF($R380="","",IF($R380&gt;IF($AH380&lt;&gt;"",MIN($AH380,Settings!$B$3),Settings!$B$3),0,(YEAR(IF($AH380&lt;&gt;"",MIN($AH380,Settings!$B$3),Settings!$B$3))-YEAR($R380))*12+MONTH(IF($AH380&lt;&gt;"",MIN($AH380,Settings!$B$3),Settings!$B$3))-MONTH($R380)+1))</f>
        <v/>
      </c>
      <c r="AK380" s="25">
        <f>IF($R380="","",IF($R380&gt;MIN(Settings!$B$4-1,IF($AH380&lt;&gt;"",MIN($AH380,Settings!$B$3),Settings!$B$3)),0,(YEAR(MIN(Settings!$B$4-1,IF($AH380&lt;&gt;"",MIN($AH380,Settings!$B$3),Settings!$B$3)))-YEAR($R380))*12+MONTH(MIN(Settings!$B$4-1,IF($AH380&lt;&gt;"",MIN($AH380,Settings!$B$3),Settings!$B$3)))-MONTH($R380)+1))</f>
        <v/>
      </c>
      <c r="AL380" s="23">
        <f>IF(OR($S380="",$R380=""),"",ROUND(MAX(0,IF($W380="Straight-line",IF(N($V380)&lt;=0,0,($S380-N($U380))*MIN($AK380,$V380)/$V380),IF($W380="Reducing balance",MIN(($S380-N($U380)),$S380-$S380*(1-N($AG380))^INT($AK380/12)*(1-N($AG380)*MOD($AK380,12)/12)),IF($W380="DDB",IF(N($V380)&lt;=0,0,MIN(($S380-N($U380)),$S380-$S380*(1-MIN(1,24/$V380))^INT($AK380/12)*(1-MIN(1,24/$V380)*MOD($AK380,12)/12))),IF($W380="SYD",IF(N($V380)&lt;=0,0,($S380-N($U380))*(INT(MIN($AK380,$V380)/12)*(2*($V380/12)-INT(MIN($AK380,$V380)/12)+1)/2+MOD(MIN($AK380,$V380),12)/12*(($V380/12)-INT(MIN($AK380,$V380)/12)))/(($V380/12)*(($V380/12)+1)/2)),0))))),2))</f>
        <v/>
      </c>
      <c r="AM380" s="23">
        <f>IF($X380="","",$X380-$AL380)</f>
        <v/>
      </c>
      <c r="AN380" s="23">
        <f>IF(OR($AH380="",$Y380=""),"",N($AI380)-$Y380)</f>
        <v/>
      </c>
    </row>
    <row r="381">
      <c r="Q381" s="20" t="n"/>
      <c r="R381" s="20" t="n"/>
      <c r="S381" s="21" t="n"/>
      <c r="U381" s="21" t="n"/>
      <c r="V381" s="22" t="n"/>
      <c r="X381" s="23">
        <f>IF(OR($S381="",$R381=""),"",ROUND(MAX(0,IF($W381="Straight-line",IF(N($V381)&lt;=0,0,($S381-N($U381))*MIN($AJ381,$V381)/$V381),IF($W381="Reducing balance",MIN(($S381-N($U381)),$S381-$S381*(1-N($AG381))^INT($AJ381/12)*(1-N($AG381)*MOD($AJ381,12)/12)),IF($W381="DDB",IF(N($V381)&lt;=0,0,MIN(($S381-N($U381)),$S381-$S381*(1-MIN(1,24/$V381))^INT($AJ381/12)*(1-MIN(1,24/$V381)*MOD($AJ381,12)/12))),IF($W381="SYD",IF(N($V381)&lt;=0,0,($S381-N($U381))*(INT(MIN($AJ381,$V381)/12)*(2*($V381/12)-INT(MIN($AJ381,$V381)/12)+1)/2+MOD(MIN($AJ381,$V381),12)/12*(($V381/12)-INT(MIN($AJ381,$V381)/12)))/(($V381/12)*(($V381/12)+1)/2)),0))))),2))</f>
        <v/>
      </c>
      <c r="Y381" s="23">
        <f>IF($X381="","",$S381-$X381)</f>
        <v/>
      </c>
      <c r="AD381" s="20" t="n"/>
      <c r="AG381" s="24" t="n"/>
      <c r="AH381" s="20" t="n"/>
      <c r="AI381" s="21" t="n"/>
      <c r="AJ381" s="25">
        <f>IF($R381="","",IF($R381&gt;IF($AH381&lt;&gt;"",MIN($AH381,Settings!$B$3),Settings!$B$3),0,(YEAR(IF($AH381&lt;&gt;"",MIN($AH381,Settings!$B$3),Settings!$B$3))-YEAR($R381))*12+MONTH(IF($AH381&lt;&gt;"",MIN($AH381,Settings!$B$3),Settings!$B$3))-MONTH($R381)+1))</f>
        <v/>
      </c>
      <c r="AK381" s="25">
        <f>IF($R381="","",IF($R381&gt;MIN(Settings!$B$4-1,IF($AH381&lt;&gt;"",MIN($AH381,Settings!$B$3),Settings!$B$3)),0,(YEAR(MIN(Settings!$B$4-1,IF($AH381&lt;&gt;"",MIN($AH381,Settings!$B$3),Settings!$B$3)))-YEAR($R381))*12+MONTH(MIN(Settings!$B$4-1,IF($AH381&lt;&gt;"",MIN($AH381,Settings!$B$3),Settings!$B$3)))-MONTH($R381)+1))</f>
        <v/>
      </c>
      <c r="AL381" s="23">
        <f>IF(OR($S381="",$R381=""),"",ROUND(MAX(0,IF($W381="Straight-line",IF(N($V381)&lt;=0,0,($S381-N($U381))*MIN($AK381,$V381)/$V381),IF($W381="Reducing balance",MIN(($S381-N($U381)),$S381-$S381*(1-N($AG381))^INT($AK381/12)*(1-N($AG381)*MOD($AK381,12)/12)),IF($W381="DDB",IF(N($V381)&lt;=0,0,MIN(($S381-N($U381)),$S381-$S381*(1-MIN(1,24/$V381))^INT($AK381/12)*(1-MIN(1,24/$V381)*MOD($AK381,12)/12))),IF($W381="SYD",IF(N($V381)&lt;=0,0,($S381-N($U381))*(INT(MIN($AK381,$V381)/12)*(2*($V381/12)-INT(MIN($AK381,$V381)/12)+1)/2+MOD(MIN($AK381,$V381),12)/12*(($V381/12)-INT(MIN($AK381,$V381)/12)))/(($V381/12)*(($V381/12)+1)/2)),0))))),2))</f>
        <v/>
      </c>
      <c r="AM381" s="23">
        <f>IF($X381="","",$X381-$AL381)</f>
        <v/>
      </c>
      <c r="AN381" s="23">
        <f>IF(OR($AH381="",$Y381=""),"",N($AI381)-$Y381)</f>
        <v/>
      </c>
    </row>
    <row r="382">
      <c r="Q382" s="20" t="n"/>
      <c r="R382" s="20" t="n"/>
      <c r="S382" s="21" t="n"/>
      <c r="U382" s="21" t="n"/>
      <c r="V382" s="22" t="n"/>
      <c r="X382" s="23">
        <f>IF(OR($S382="",$R382=""),"",ROUND(MAX(0,IF($W382="Straight-line",IF(N($V382)&lt;=0,0,($S382-N($U382))*MIN($AJ382,$V382)/$V382),IF($W382="Reducing balance",MIN(($S382-N($U382)),$S382-$S382*(1-N($AG382))^INT($AJ382/12)*(1-N($AG382)*MOD($AJ382,12)/12)),IF($W382="DDB",IF(N($V382)&lt;=0,0,MIN(($S382-N($U382)),$S382-$S382*(1-MIN(1,24/$V382))^INT($AJ382/12)*(1-MIN(1,24/$V382)*MOD($AJ382,12)/12))),IF($W382="SYD",IF(N($V382)&lt;=0,0,($S382-N($U382))*(INT(MIN($AJ382,$V382)/12)*(2*($V382/12)-INT(MIN($AJ382,$V382)/12)+1)/2+MOD(MIN($AJ382,$V382),12)/12*(($V382/12)-INT(MIN($AJ382,$V382)/12)))/(($V382/12)*(($V382/12)+1)/2)),0))))),2))</f>
        <v/>
      </c>
      <c r="Y382" s="23">
        <f>IF($X382="","",$S382-$X382)</f>
        <v/>
      </c>
      <c r="AD382" s="20" t="n"/>
      <c r="AG382" s="24" t="n"/>
      <c r="AH382" s="20" t="n"/>
      <c r="AI382" s="21" t="n"/>
      <c r="AJ382" s="25">
        <f>IF($R382="","",IF($R382&gt;IF($AH382&lt;&gt;"",MIN($AH382,Settings!$B$3),Settings!$B$3),0,(YEAR(IF($AH382&lt;&gt;"",MIN($AH382,Settings!$B$3),Settings!$B$3))-YEAR($R382))*12+MONTH(IF($AH382&lt;&gt;"",MIN($AH382,Settings!$B$3),Settings!$B$3))-MONTH($R382)+1))</f>
        <v/>
      </c>
      <c r="AK382" s="25">
        <f>IF($R382="","",IF($R382&gt;MIN(Settings!$B$4-1,IF($AH382&lt;&gt;"",MIN($AH382,Settings!$B$3),Settings!$B$3)),0,(YEAR(MIN(Settings!$B$4-1,IF($AH382&lt;&gt;"",MIN($AH382,Settings!$B$3),Settings!$B$3)))-YEAR($R382))*12+MONTH(MIN(Settings!$B$4-1,IF($AH382&lt;&gt;"",MIN($AH382,Settings!$B$3),Settings!$B$3)))-MONTH($R382)+1))</f>
        <v/>
      </c>
      <c r="AL382" s="23">
        <f>IF(OR($S382="",$R382=""),"",ROUND(MAX(0,IF($W382="Straight-line",IF(N($V382)&lt;=0,0,($S382-N($U382))*MIN($AK382,$V382)/$V382),IF($W382="Reducing balance",MIN(($S382-N($U382)),$S382-$S382*(1-N($AG382))^INT($AK382/12)*(1-N($AG382)*MOD($AK382,12)/12)),IF($W382="DDB",IF(N($V382)&lt;=0,0,MIN(($S382-N($U382)),$S382-$S382*(1-MIN(1,24/$V382))^INT($AK382/12)*(1-MIN(1,24/$V382)*MOD($AK382,12)/12))),IF($W382="SYD",IF(N($V382)&lt;=0,0,($S382-N($U382))*(INT(MIN($AK382,$V382)/12)*(2*($V382/12)-INT(MIN($AK382,$V382)/12)+1)/2+MOD(MIN($AK382,$V382),12)/12*(($V382/12)-INT(MIN($AK382,$V382)/12)))/(($V382/12)*(($V382/12)+1)/2)),0))))),2))</f>
        <v/>
      </c>
      <c r="AM382" s="23">
        <f>IF($X382="","",$X382-$AL382)</f>
        <v/>
      </c>
      <c r="AN382" s="23">
        <f>IF(OR($AH382="",$Y382=""),"",N($AI382)-$Y382)</f>
        <v/>
      </c>
    </row>
    <row r="383">
      <c r="Q383" s="20" t="n"/>
      <c r="R383" s="20" t="n"/>
      <c r="S383" s="21" t="n"/>
      <c r="U383" s="21" t="n"/>
      <c r="V383" s="22" t="n"/>
      <c r="X383" s="23">
        <f>IF(OR($S383="",$R383=""),"",ROUND(MAX(0,IF($W383="Straight-line",IF(N($V383)&lt;=0,0,($S383-N($U383))*MIN($AJ383,$V383)/$V383),IF($W383="Reducing balance",MIN(($S383-N($U383)),$S383-$S383*(1-N($AG383))^INT($AJ383/12)*(1-N($AG383)*MOD($AJ383,12)/12)),IF($W383="DDB",IF(N($V383)&lt;=0,0,MIN(($S383-N($U383)),$S383-$S383*(1-MIN(1,24/$V383))^INT($AJ383/12)*(1-MIN(1,24/$V383)*MOD($AJ383,12)/12))),IF($W383="SYD",IF(N($V383)&lt;=0,0,($S383-N($U383))*(INT(MIN($AJ383,$V383)/12)*(2*($V383/12)-INT(MIN($AJ383,$V383)/12)+1)/2+MOD(MIN($AJ383,$V383),12)/12*(($V383/12)-INT(MIN($AJ383,$V383)/12)))/(($V383/12)*(($V383/12)+1)/2)),0))))),2))</f>
        <v/>
      </c>
      <c r="Y383" s="23">
        <f>IF($X383="","",$S383-$X383)</f>
        <v/>
      </c>
      <c r="AD383" s="20" t="n"/>
      <c r="AG383" s="24" t="n"/>
      <c r="AH383" s="20" t="n"/>
      <c r="AI383" s="21" t="n"/>
      <c r="AJ383" s="25">
        <f>IF($R383="","",IF($R383&gt;IF($AH383&lt;&gt;"",MIN($AH383,Settings!$B$3),Settings!$B$3),0,(YEAR(IF($AH383&lt;&gt;"",MIN($AH383,Settings!$B$3),Settings!$B$3))-YEAR($R383))*12+MONTH(IF($AH383&lt;&gt;"",MIN($AH383,Settings!$B$3),Settings!$B$3))-MONTH($R383)+1))</f>
        <v/>
      </c>
      <c r="AK383" s="25">
        <f>IF($R383="","",IF($R383&gt;MIN(Settings!$B$4-1,IF($AH383&lt;&gt;"",MIN($AH383,Settings!$B$3),Settings!$B$3)),0,(YEAR(MIN(Settings!$B$4-1,IF($AH383&lt;&gt;"",MIN($AH383,Settings!$B$3),Settings!$B$3)))-YEAR($R383))*12+MONTH(MIN(Settings!$B$4-1,IF($AH383&lt;&gt;"",MIN($AH383,Settings!$B$3),Settings!$B$3)))-MONTH($R383)+1))</f>
        <v/>
      </c>
      <c r="AL383" s="23">
        <f>IF(OR($S383="",$R383=""),"",ROUND(MAX(0,IF($W383="Straight-line",IF(N($V383)&lt;=0,0,($S383-N($U383))*MIN($AK383,$V383)/$V383),IF($W383="Reducing balance",MIN(($S383-N($U383)),$S383-$S383*(1-N($AG383))^INT($AK383/12)*(1-N($AG383)*MOD($AK383,12)/12)),IF($W383="DDB",IF(N($V383)&lt;=0,0,MIN(($S383-N($U383)),$S383-$S383*(1-MIN(1,24/$V383))^INT($AK383/12)*(1-MIN(1,24/$V383)*MOD($AK383,12)/12))),IF($W383="SYD",IF(N($V383)&lt;=0,0,($S383-N($U383))*(INT(MIN($AK383,$V383)/12)*(2*($V383/12)-INT(MIN($AK383,$V383)/12)+1)/2+MOD(MIN($AK383,$V383),12)/12*(($V383/12)-INT(MIN($AK383,$V383)/12)))/(($V383/12)*(($V383/12)+1)/2)),0))))),2))</f>
        <v/>
      </c>
      <c r="AM383" s="23">
        <f>IF($X383="","",$X383-$AL383)</f>
        <v/>
      </c>
      <c r="AN383" s="23">
        <f>IF(OR($AH383="",$Y383=""),"",N($AI383)-$Y383)</f>
        <v/>
      </c>
    </row>
    <row r="384">
      <c r="Q384" s="20" t="n"/>
      <c r="R384" s="20" t="n"/>
      <c r="S384" s="21" t="n"/>
      <c r="U384" s="21" t="n"/>
      <c r="V384" s="22" t="n"/>
      <c r="X384" s="23">
        <f>IF(OR($S384="",$R384=""),"",ROUND(MAX(0,IF($W384="Straight-line",IF(N($V384)&lt;=0,0,($S384-N($U384))*MIN($AJ384,$V384)/$V384),IF($W384="Reducing balance",MIN(($S384-N($U384)),$S384-$S384*(1-N($AG384))^INT($AJ384/12)*(1-N($AG384)*MOD($AJ384,12)/12)),IF($W384="DDB",IF(N($V384)&lt;=0,0,MIN(($S384-N($U384)),$S384-$S384*(1-MIN(1,24/$V384))^INT($AJ384/12)*(1-MIN(1,24/$V384)*MOD($AJ384,12)/12))),IF($W384="SYD",IF(N($V384)&lt;=0,0,($S384-N($U384))*(INT(MIN($AJ384,$V384)/12)*(2*($V384/12)-INT(MIN($AJ384,$V384)/12)+1)/2+MOD(MIN($AJ384,$V384),12)/12*(($V384/12)-INT(MIN($AJ384,$V384)/12)))/(($V384/12)*(($V384/12)+1)/2)),0))))),2))</f>
        <v/>
      </c>
      <c r="Y384" s="23">
        <f>IF($X384="","",$S384-$X384)</f>
        <v/>
      </c>
      <c r="AD384" s="20" t="n"/>
      <c r="AG384" s="24" t="n"/>
      <c r="AH384" s="20" t="n"/>
      <c r="AI384" s="21" t="n"/>
      <c r="AJ384" s="25">
        <f>IF($R384="","",IF($R384&gt;IF($AH384&lt;&gt;"",MIN($AH384,Settings!$B$3),Settings!$B$3),0,(YEAR(IF($AH384&lt;&gt;"",MIN($AH384,Settings!$B$3),Settings!$B$3))-YEAR($R384))*12+MONTH(IF($AH384&lt;&gt;"",MIN($AH384,Settings!$B$3),Settings!$B$3))-MONTH($R384)+1))</f>
        <v/>
      </c>
      <c r="AK384" s="25">
        <f>IF($R384="","",IF($R384&gt;MIN(Settings!$B$4-1,IF($AH384&lt;&gt;"",MIN($AH384,Settings!$B$3),Settings!$B$3)),0,(YEAR(MIN(Settings!$B$4-1,IF($AH384&lt;&gt;"",MIN($AH384,Settings!$B$3),Settings!$B$3)))-YEAR($R384))*12+MONTH(MIN(Settings!$B$4-1,IF($AH384&lt;&gt;"",MIN($AH384,Settings!$B$3),Settings!$B$3)))-MONTH($R384)+1))</f>
        <v/>
      </c>
      <c r="AL384" s="23">
        <f>IF(OR($S384="",$R384=""),"",ROUND(MAX(0,IF($W384="Straight-line",IF(N($V384)&lt;=0,0,($S384-N($U384))*MIN($AK384,$V384)/$V384),IF($W384="Reducing balance",MIN(($S384-N($U384)),$S384-$S384*(1-N($AG384))^INT($AK384/12)*(1-N($AG384)*MOD($AK384,12)/12)),IF($W384="DDB",IF(N($V384)&lt;=0,0,MIN(($S384-N($U384)),$S384-$S384*(1-MIN(1,24/$V384))^INT($AK384/12)*(1-MIN(1,24/$V384)*MOD($AK384,12)/12))),IF($W384="SYD",IF(N($V384)&lt;=0,0,($S384-N($U384))*(INT(MIN($AK384,$V384)/12)*(2*($V384/12)-INT(MIN($AK384,$V384)/12)+1)/2+MOD(MIN($AK384,$V384),12)/12*(($V384/12)-INT(MIN($AK384,$V384)/12)))/(($V384/12)*(($V384/12)+1)/2)),0))))),2))</f>
        <v/>
      </c>
      <c r="AM384" s="23">
        <f>IF($X384="","",$X384-$AL384)</f>
        <v/>
      </c>
      <c r="AN384" s="23">
        <f>IF(OR($AH384="",$Y384=""),"",N($AI384)-$Y384)</f>
        <v/>
      </c>
    </row>
    <row r="385">
      <c r="Q385" s="20" t="n"/>
      <c r="R385" s="20" t="n"/>
      <c r="S385" s="21" t="n"/>
      <c r="U385" s="21" t="n"/>
      <c r="V385" s="22" t="n"/>
      <c r="X385" s="23">
        <f>IF(OR($S385="",$R385=""),"",ROUND(MAX(0,IF($W385="Straight-line",IF(N($V385)&lt;=0,0,($S385-N($U385))*MIN($AJ385,$V385)/$V385),IF($W385="Reducing balance",MIN(($S385-N($U385)),$S385-$S385*(1-N($AG385))^INT($AJ385/12)*(1-N($AG385)*MOD($AJ385,12)/12)),IF($W385="DDB",IF(N($V385)&lt;=0,0,MIN(($S385-N($U385)),$S385-$S385*(1-MIN(1,24/$V385))^INT($AJ385/12)*(1-MIN(1,24/$V385)*MOD($AJ385,12)/12))),IF($W385="SYD",IF(N($V385)&lt;=0,0,($S385-N($U385))*(INT(MIN($AJ385,$V385)/12)*(2*($V385/12)-INT(MIN($AJ385,$V385)/12)+1)/2+MOD(MIN($AJ385,$V385),12)/12*(($V385/12)-INT(MIN($AJ385,$V385)/12)))/(($V385/12)*(($V385/12)+1)/2)),0))))),2))</f>
        <v/>
      </c>
      <c r="Y385" s="23">
        <f>IF($X385="","",$S385-$X385)</f>
        <v/>
      </c>
      <c r="AD385" s="20" t="n"/>
      <c r="AG385" s="24" t="n"/>
      <c r="AH385" s="20" t="n"/>
      <c r="AI385" s="21" t="n"/>
      <c r="AJ385" s="25">
        <f>IF($R385="","",IF($R385&gt;IF($AH385&lt;&gt;"",MIN($AH385,Settings!$B$3),Settings!$B$3),0,(YEAR(IF($AH385&lt;&gt;"",MIN($AH385,Settings!$B$3),Settings!$B$3))-YEAR($R385))*12+MONTH(IF($AH385&lt;&gt;"",MIN($AH385,Settings!$B$3),Settings!$B$3))-MONTH($R385)+1))</f>
        <v/>
      </c>
      <c r="AK385" s="25">
        <f>IF($R385="","",IF($R385&gt;MIN(Settings!$B$4-1,IF($AH385&lt;&gt;"",MIN($AH385,Settings!$B$3),Settings!$B$3)),0,(YEAR(MIN(Settings!$B$4-1,IF($AH385&lt;&gt;"",MIN($AH385,Settings!$B$3),Settings!$B$3)))-YEAR($R385))*12+MONTH(MIN(Settings!$B$4-1,IF($AH385&lt;&gt;"",MIN($AH385,Settings!$B$3),Settings!$B$3)))-MONTH($R385)+1))</f>
        <v/>
      </c>
      <c r="AL385" s="23">
        <f>IF(OR($S385="",$R385=""),"",ROUND(MAX(0,IF($W385="Straight-line",IF(N($V385)&lt;=0,0,($S385-N($U385))*MIN($AK385,$V385)/$V385),IF($W385="Reducing balance",MIN(($S385-N($U385)),$S385-$S385*(1-N($AG385))^INT($AK385/12)*(1-N($AG385)*MOD($AK385,12)/12)),IF($W385="DDB",IF(N($V385)&lt;=0,0,MIN(($S385-N($U385)),$S385-$S385*(1-MIN(1,24/$V385))^INT($AK385/12)*(1-MIN(1,24/$V385)*MOD($AK385,12)/12))),IF($W385="SYD",IF(N($V385)&lt;=0,0,($S385-N($U385))*(INT(MIN($AK385,$V385)/12)*(2*($V385/12)-INT(MIN($AK385,$V385)/12)+1)/2+MOD(MIN($AK385,$V385),12)/12*(($V385/12)-INT(MIN($AK385,$V385)/12)))/(($V385/12)*(($V385/12)+1)/2)),0))))),2))</f>
        <v/>
      </c>
      <c r="AM385" s="23">
        <f>IF($X385="","",$X385-$AL385)</f>
        <v/>
      </c>
      <c r="AN385" s="23">
        <f>IF(OR($AH385="",$Y385=""),"",N($AI385)-$Y385)</f>
        <v/>
      </c>
    </row>
    <row r="386">
      <c r="Q386" s="20" t="n"/>
      <c r="R386" s="20" t="n"/>
      <c r="S386" s="21" t="n"/>
      <c r="U386" s="21" t="n"/>
      <c r="V386" s="22" t="n"/>
      <c r="X386" s="23">
        <f>IF(OR($S386="",$R386=""),"",ROUND(MAX(0,IF($W386="Straight-line",IF(N($V386)&lt;=0,0,($S386-N($U386))*MIN($AJ386,$V386)/$V386),IF($W386="Reducing balance",MIN(($S386-N($U386)),$S386-$S386*(1-N($AG386))^INT($AJ386/12)*(1-N($AG386)*MOD($AJ386,12)/12)),IF($W386="DDB",IF(N($V386)&lt;=0,0,MIN(($S386-N($U386)),$S386-$S386*(1-MIN(1,24/$V386))^INT($AJ386/12)*(1-MIN(1,24/$V386)*MOD($AJ386,12)/12))),IF($W386="SYD",IF(N($V386)&lt;=0,0,($S386-N($U386))*(INT(MIN($AJ386,$V386)/12)*(2*($V386/12)-INT(MIN($AJ386,$V386)/12)+1)/2+MOD(MIN($AJ386,$V386),12)/12*(($V386/12)-INT(MIN($AJ386,$V386)/12)))/(($V386/12)*(($V386/12)+1)/2)),0))))),2))</f>
        <v/>
      </c>
      <c r="Y386" s="23">
        <f>IF($X386="","",$S386-$X386)</f>
        <v/>
      </c>
      <c r="AD386" s="20" t="n"/>
      <c r="AG386" s="24" t="n"/>
      <c r="AH386" s="20" t="n"/>
      <c r="AI386" s="21" t="n"/>
      <c r="AJ386" s="25">
        <f>IF($R386="","",IF($R386&gt;IF($AH386&lt;&gt;"",MIN($AH386,Settings!$B$3),Settings!$B$3),0,(YEAR(IF($AH386&lt;&gt;"",MIN($AH386,Settings!$B$3),Settings!$B$3))-YEAR($R386))*12+MONTH(IF($AH386&lt;&gt;"",MIN($AH386,Settings!$B$3),Settings!$B$3))-MONTH($R386)+1))</f>
        <v/>
      </c>
      <c r="AK386" s="25">
        <f>IF($R386="","",IF($R386&gt;MIN(Settings!$B$4-1,IF($AH386&lt;&gt;"",MIN($AH386,Settings!$B$3),Settings!$B$3)),0,(YEAR(MIN(Settings!$B$4-1,IF($AH386&lt;&gt;"",MIN($AH386,Settings!$B$3),Settings!$B$3)))-YEAR($R386))*12+MONTH(MIN(Settings!$B$4-1,IF($AH386&lt;&gt;"",MIN($AH386,Settings!$B$3),Settings!$B$3)))-MONTH($R386)+1))</f>
        <v/>
      </c>
      <c r="AL386" s="23">
        <f>IF(OR($S386="",$R386=""),"",ROUND(MAX(0,IF($W386="Straight-line",IF(N($V386)&lt;=0,0,($S386-N($U386))*MIN($AK386,$V386)/$V386),IF($W386="Reducing balance",MIN(($S386-N($U386)),$S386-$S386*(1-N($AG386))^INT($AK386/12)*(1-N($AG386)*MOD($AK386,12)/12)),IF($W386="DDB",IF(N($V386)&lt;=0,0,MIN(($S386-N($U386)),$S386-$S386*(1-MIN(1,24/$V386))^INT($AK386/12)*(1-MIN(1,24/$V386)*MOD($AK386,12)/12))),IF($W386="SYD",IF(N($V386)&lt;=0,0,($S386-N($U386))*(INT(MIN($AK386,$V386)/12)*(2*($V386/12)-INT(MIN($AK386,$V386)/12)+1)/2+MOD(MIN($AK386,$V386),12)/12*(($V386/12)-INT(MIN($AK386,$V386)/12)))/(($V386/12)*(($V386/12)+1)/2)),0))))),2))</f>
        <v/>
      </c>
      <c r="AM386" s="23">
        <f>IF($X386="","",$X386-$AL386)</f>
        <v/>
      </c>
      <c r="AN386" s="23">
        <f>IF(OR($AH386="",$Y386=""),"",N($AI386)-$Y386)</f>
        <v/>
      </c>
    </row>
    <row r="387">
      <c r="Q387" s="20" t="n"/>
      <c r="R387" s="20" t="n"/>
      <c r="S387" s="21" t="n"/>
      <c r="U387" s="21" t="n"/>
      <c r="V387" s="22" t="n"/>
      <c r="X387" s="23">
        <f>IF(OR($S387="",$R387=""),"",ROUND(MAX(0,IF($W387="Straight-line",IF(N($V387)&lt;=0,0,($S387-N($U387))*MIN($AJ387,$V387)/$V387),IF($W387="Reducing balance",MIN(($S387-N($U387)),$S387-$S387*(1-N($AG387))^INT($AJ387/12)*(1-N($AG387)*MOD($AJ387,12)/12)),IF($W387="DDB",IF(N($V387)&lt;=0,0,MIN(($S387-N($U387)),$S387-$S387*(1-MIN(1,24/$V387))^INT($AJ387/12)*(1-MIN(1,24/$V387)*MOD($AJ387,12)/12))),IF($W387="SYD",IF(N($V387)&lt;=0,0,($S387-N($U387))*(INT(MIN($AJ387,$V387)/12)*(2*($V387/12)-INT(MIN($AJ387,$V387)/12)+1)/2+MOD(MIN($AJ387,$V387),12)/12*(($V387/12)-INT(MIN($AJ387,$V387)/12)))/(($V387/12)*(($V387/12)+1)/2)),0))))),2))</f>
        <v/>
      </c>
      <c r="Y387" s="23">
        <f>IF($X387="","",$S387-$X387)</f>
        <v/>
      </c>
      <c r="AD387" s="20" t="n"/>
      <c r="AG387" s="24" t="n"/>
      <c r="AH387" s="20" t="n"/>
      <c r="AI387" s="21" t="n"/>
      <c r="AJ387" s="25">
        <f>IF($R387="","",IF($R387&gt;IF($AH387&lt;&gt;"",MIN($AH387,Settings!$B$3),Settings!$B$3),0,(YEAR(IF($AH387&lt;&gt;"",MIN($AH387,Settings!$B$3),Settings!$B$3))-YEAR($R387))*12+MONTH(IF($AH387&lt;&gt;"",MIN($AH387,Settings!$B$3),Settings!$B$3))-MONTH($R387)+1))</f>
        <v/>
      </c>
      <c r="AK387" s="25">
        <f>IF($R387="","",IF($R387&gt;MIN(Settings!$B$4-1,IF($AH387&lt;&gt;"",MIN($AH387,Settings!$B$3),Settings!$B$3)),0,(YEAR(MIN(Settings!$B$4-1,IF($AH387&lt;&gt;"",MIN($AH387,Settings!$B$3),Settings!$B$3)))-YEAR($R387))*12+MONTH(MIN(Settings!$B$4-1,IF($AH387&lt;&gt;"",MIN($AH387,Settings!$B$3),Settings!$B$3)))-MONTH($R387)+1))</f>
        <v/>
      </c>
      <c r="AL387" s="23">
        <f>IF(OR($S387="",$R387=""),"",ROUND(MAX(0,IF($W387="Straight-line",IF(N($V387)&lt;=0,0,($S387-N($U387))*MIN($AK387,$V387)/$V387),IF($W387="Reducing balance",MIN(($S387-N($U387)),$S387-$S387*(1-N($AG387))^INT($AK387/12)*(1-N($AG387)*MOD($AK387,12)/12)),IF($W387="DDB",IF(N($V387)&lt;=0,0,MIN(($S387-N($U387)),$S387-$S387*(1-MIN(1,24/$V387))^INT($AK387/12)*(1-MIN(1,24/$V387)*MOD($AK387,12)/12))),IF($W387="SYD",IF(N($V387)&lt;=0,0,($S387-N($U387))*(INT(MIN($AK387,$V387)/12)*(2*($V387/12)-INT(MIN($AK387,$V387)/12)+1)/2+MOD(MIN($AK387,$V387),12)/12*(($V387/12)-INT(MIN($AK387,$V387)/12)))/(($V387/12)*(($V387/12)+1)/2)),0))))),2))</f>
        <v/>
      </c>
      <c r="AM387" s="23">
        <f>IF($X387="","",$X387-$AL387)</f>
        <v/>
      </c>
      <c r="AN387" s="23">
        <f>IF(OR($AH387="",$Y387=""),"",N($AI387)-$Y387)</f>
        <v/>
      </c>
    </row>
    <row r="388">
      <c r="Q388" s="20" t="n"/>
      <c r="R388" s="20" t="n"/>
      <c r="S388" s="21" t="n"/>
      <c r="U388" s="21" t="n"/>
      <c r="V388" s="22" t="n"/>
      <c r="X388" s="23">
        <f>IF(OR($S388="",$R388=""),"",ROUND(MAX(0,IF($W388="Straight-line",IF(N($V388)&lt;=0,0,($S388-N($U388))*MIN($AJ388,$V388)/$V388),IF($W388="Reducing balance",MIN(($S388-N($U388)),$S388-$S388*(1-N($AG388))^INT($AJ388/12)*(1-N($AG388)*MOD($AJ388,12)/12)),IF($W388="DDB",IF(N($V388)&lt;=0,0,MIN(($S388-N($U388)),$S388-$S388*(1-MIN(1,24/$V388))^INT($AJ388/12)*(1-MIN(1,24/$V388)*MOD($AJ388,12)/12))),IF($W388="SYD",IF(N($V388)&lt;=0,0,($S388-N($U388))*(INT(MIN($AJ388,$V388)/12)*(2*($V388/12)-INT(MIN($AJ388,$V388)/12)+1)/2+MOD(MIN($AJ388,$V388),12)/12*(($V388/12)-INT(MIN($AJ388,$V388)/12)))/(($V388/12)*(($V388/12)+1)/2)),0))))),2))</f>
        <v/>
      </c>
      <c r="Y388" s="23">
        <f>IF($X388="","",$S388-$X388)</f>
        <v/>
      </c>
      <c r="AD388" s="20" t="n"/>
      <c r="AG388" s="24" t="n"/>
      <c r="AH388" s="20" t="n"/>
      <c r="AI388" s="21" t="n"/>
      <c r="AJ388" s="25">
        <f>IF($R388="","",IF($R388&gt;IF($AH388&lt;&gt;"",MIN($AH388,Settings!$B$3),Settings!$B$3),0,(YEAR(IF($AH388&lt;&gt;"",MIN($AH388,Settings!$B$3),Settings!$B$3))-YEAR($R388))*12+MONTH(IF($AH388&lt;&gt;"",MIN($AH388,Settings!$B$3),Settings!$B$3))-MONTH($R388)+1))</f>
        <v/>
      </c>
      <c r="AK388" s="25">
        <f>IF($R388="","",IF($R388&gt;MIN(Settings!$B$4-1,IF($AH388&lt;&gt;"",MIN($AH388,Settings!$B$3),Settings!$B$3)),0,(YEAR(MIN(Settings!$B$4-1,IF($AH388&lt;&gt;"",MIN($AH388,Settings!$B$3),Settings!$B$3)))-YEAR($R388))*12+MONTH(MIN(Settings!$B$4-1,IF($AH388&lt;&gt;"",MIN($AH388,Settings!$B$3),Settings!$B$3)))-MONTH($R388)+1))</f>
        <v/>
      </c>
      <c r="AL388" s="23">
        <f>IF(OR($S388="",$R388=""),"",ROUND(MAX(0,IF($W388="Straight-line",IF(N($V388)&lt;=0,0,($S388-N($U388))*MIN($AK388,$V388)/$V388),IF($W388="Reducing balance",MIN(($S388-N($U388)),$S388-$S388*(1-N($AG388))^INT($AK388/12)*(1-N($AG388)*MOD($AK388,12)/12)),IF($W388="DDB",IF(N($V388)&lt;=0,0,MIN(($S388-N($U388)),$S388-$S388*(1-MIN(1,24/$V388))^INT($AK388/12)*(1-MIN(1,24/$V388)*MOD($AK388,12)/12))),IF($W388="SYD",IF(N($V388)&lt;=0,0,($S388-N($U388))*(INT(MIN($AK388,$V388)/12)*(2*($V388/12)-INT(MIN($AK388,$V388)/12)+1)/2+MOD(MIN($AK388,$V388),12)/12*(($V388/12)-INT(MIN($AK388,$V388)/12)))/(($V388/12)*(($V388/12)+1)/2)),0))))),2))</f>
        <v/>
      </c>
      <c r="AM388" s="23">
        <f>IF($X388="","",$X388-$AL388)</f>
        <v/>
      </c>
      <c r="AN388" s="23">
        <f>IF(OR($AH388="",$Y388=""),"",N($AI388)-$Y388)</f>
        <v/>
      </c>
    </row>
    <row r="389">
      <c r="Q389" s="20" t="n"/>
      <c r="R389" s="20" t="n"/>
      <c r="S389" s="21" t="n"/>
      <c r="U389" s="21" t="n"/>
      <c r="V389" s="22" t="n"/>
      <c r="X389" s="23">
        <f>IF(OR($S389="",$R389=""),"",ROUND(MAX(0,IF($W389="Straight-line",IF(N($V389)&lt;=0,0,($S389-N($U389))*MIN($AJ389,$V389)/$V389),IF($W389="Reducing balance",MIN(($S389-N($U389)),$S389-$S389*(1-N($AG389))^INT($AJ389/12)*(1-N($AG389)*MOD($AJ389,12)/12)),IF($W389="DDB",IF(N($V389)&lt;=0,0,MIN(($S389-N($U389)),$S389-$S389*(1-MIN(1,24/$V389))^INT($AJ389/12)*(1-MIN(1,24/$V389)*MOD($AJ389,12)/12))),IF($W389="SYD",IF(N($V389)&lt;=0,0,($S389-N($U389))*(INT(MIN($AJ389,$V389)/12)*(2*($V389/12)-INT(MIN($AJ389,$V389)/12)+1)/2+MOD(MIN($AJ389,$V389),12)/12*(($V389/12)-INT(MIN($AJ389,$V389)/12)))/(($V389/12)*(($V389/12)+1)/2)),0))))),2))</f>
        <v/>
      </c>
      <c r="Y389" s="23">
        <f>IF($X389="","",$S389-$X389)</f>
        <v/>
      </c>
      <c r="AD389" s="20" t="n"/>
      <c r="AG389" s="24" t="n"/>
      <c r="AH389" s="20" t="n"/>
      <c r="AI389" s="21" t="n"/>
      <c r="AJ389" s="25">
        <f>IF($R389="","",IF($R389&gt;IF($AH389&lt;&gt;"",MIN($AH389,Settings!$B$3),Settings!$B$3),0,(YEAR(IF($AH389&lt;&gt;"",MIN($AH389,Settings!$B$3),Settings!$B$3))-YEAR($R389))*12+MONTH(IF($AH389&lt;&gt;"",MIN($AH389,Settings!$B$3),Settings!$B$3))-MONTH($R389)+1))</f>
        <v/>
      </c>
      <c r="AK389" s="25">
        <f>IF($R389="","",IF($R389&gt;MIN(Settings!$B$4-1,IF($AH389&lt;&gt;"",MIN($AH389,Settings!$B$3),Settings!$B$3)),0,(YEAR(MIN(Settings!$B$4-1,IF($AH389&lt;&gt;"",MIN($AH389,Settings!$B$3),Settings!$B$3)))-YEAR($R389))*12+MONTH(MIN(Settings!$B$4-1,IF($AH389&lt;&gt;"",MIN($AH389,Settings!$B$3),Settings!$B$3)))-MONTH($R389)+1))</f>
        <v/>
      </c>
      <c r="AL389" s="23">
        <f>IF(OR($S389="",$R389=""),"",ROUND(MAX(0,IF($W389="Straight-line",IF(N($V389)&lt;=0,0,($S389-N($U389))*MIN($AK389,$V389)/$V389),IF($W389="Reducing balance",MIN(($S389-N($U389)),$S389-$S389*(1-N($AG389))^INT($AK389/12)*(1-N($AG389)*MOD($AK389,12)/12)),IF($W389="DDB",IF(N($V389)&lt;=0,0,MIN(($S389-N($U389)),$S389-$S389*(1-MIN(1,24/$V389))^INT($AK389/12)*(1-MIN(1,24/$V389)*MOD($AK389,12)/12))),IF($W389="SYD",IF(N($V389)&lt;=0,0,($S389-N($U389))*(INT(MIN($AK389,$V389)/12)*(2*($V389/12)-INT(MIN($AK389,$V389)/12)+1)/2+MOD(MIN($AK389,$V389),12)/12*(($V389/12)-INT(MIN($AK389,$V389)/12)))/(($V389/12)*(($V389/12)+1)/2)),0))))),2))</f>
        <v/>
      </c>
      <c r="AM389" s="23">
        <f>IF($X389="","",$X389-$AL389)</f>
        <v/>
      </c>
      <c r="AN389" s="23">
        <f>IF(OR($AH389="",$Y389=""),"",N($AI389)-$Y389)</f>
        <v/>
      </c>
    </row>
    <row r="390">
      <c r="Q390" s="20" t="n"/>
      <c r="R390" s="20" t="n"/>
      <c r="S390" s="21" t="n"/>
      <c r="U390" s="21" t="n"/>
      <c r="V390" s="22" t="n"/>
      <c r="X390" s="23">
        <f>IF(OR($S390="",$R390=""),"",ROUND(MAX(0,IF($W390="Straight-line",IF(N($V390)&lt;=0,0,($S390-N($U390))*MIN($AJ390,$V390)/$V390),IF($W390="Reducing balance",MIN(($S390-N($U390)),$S390-$S390*(1-N($AG390))^INT($AJ390/12)*(1-N($AG390)*MOD($AJ390,12)/12)),IF($W390="DDB",IF(N($V390)&lt;=0,0,MIN(($S390-N($U390)),$S390-$S390*(1-MIN(1,24/$V390))^INT($AJ390/12)*(1-MIN(1,24/$V390)*MOD($AJ390,12)/12))),IF($W390="SYD",IF(N($V390)&lt;=0,0,($S390-N($U390))*(INT(MIN($AJ390,$V390)/12)*(2*($V390/12)-INT(MIN($AJ390,$V390)/12)+1)/2+MOD(MIN($AJ390,$V390),12)/12*(($V390/12)-INT(MIN($AJ390,$V390)/12)))/(($V390/12)*(($V390/12)+1)/2)),0))))),2))</f>
        <v/>
      </c>
      <c r="Y390" s="23">
        <f>IF($X390="","",$S390-$X390)</f>
        <v/>
      </c>
      <c r="AD390" s="20" t="n"/>
      <c r="AG390" s="24" t="n"/>
      <c r="AH390" s="20" t="n"/>
      <c r="AI390" s="21" t="n"/>
      <c r="AJ390" s="25">
        <f>IF($R390="","",IF($R390&gt;IF($AH390&lt;&gt;"",MIN($AH390,Settings!$B$3),Settings!$B$3),0,(YEAR(IF($AH390&lt;&gt;"",MIN($AH390,Settings!$B$3),Settings!$B$3))-YEAR($R390))*12+MONTH(IF($AH390&lt;&gt;"",MIN($AH390,Settings!$B$3),Settings!$B$3))-MONTH($R390)+1))</f>
        <v/>
      </c>
      <c r="AK390" s="25">
        <f>IF($R390="","",IF($R390&gt;MIN(Settings!$B$4-1,IF($AH390&lt;&gt;"",MIN($AH390,Settings!$B$3),Settings!$B$3)),0,(YEAR(MIN(Settings!$B$4-1,IF($AH390&lt;&gt;"",MIN($AH390,Settings!$B$3),Settings!$B$3)))-YEAR($R390))*12+MONTH(MIN(Settings!$B$4-1,IF($AH390&lt;&gt;"",MIN($AH390,Settings!$B$3),Settings!$B$3)))-MONTH($R390)+1))</f>
        <v/>
      </c>
      <c r="AL390" s="23">
        <f>IF(OR($S390="",$R390=""),"",ROUND(MAX(0,IF($W390="Straight-line",IF(N($V390)&lt;=0,0,($S390-N($U390))*MIN($AK390,$V390)/$V390),IF($W390="Reducing balance",MIN(($S390-N($U390)),$S390-$S390*(1-N($AG390))^INT($AK390/12)*(1-N($AG390)*MOD($AK390,12)/12)),IF($W390="DDB",IF(N($V390)&lt;=0,0,MIN(($S390-N($U390)),$S390-$S390*(1-MIN(1,24/$V390))^INT($AK390/12)*(1-MIN(1,24/$V390)*MOD($AK390,12)/12))),IF($W390="SYD",IF(N($V390)&lt;=0,0,($S390-N($U390))*(INT(MIN($AK390,$V390)/12)*(2*($V390/12)-INT(MIN($AK390,$V390)/12)+1)/2+MOD(MIN($AK390,$V390),12)/12*(($V390/12)-INT(MIN($AK390,$V390)/12)))/(($V390/12)*(($V390/12)+1)/2)),0))))),2))</f>
        <v/>
      </c>
      <c r="AM390" s="23">
        <f>IF($X390="","",$X390-$AL390)</f>
        <v/>
      </c>
      <c r="AN390" s="23">
        <f>IF(OR($AH390="",$Y390=""),"",N($AI390)-$Y390)</f>
        <v/>
      </c>
    </row>
    <row r="391">
      <c r="Q391" s="20" t="n"/>
      <c r="R391" s="20" t="n"/>
      <c r="S391" s="21" t="n"/>
      <c r="U391" s="21" t="n"/>
      <c r="V391" s="22" t="n"/>
      <c r="X391" s="23">
        <f>IF(OR($S391="",$R391=""),"",ROUND(MAX(0,IF($W391="Straight-line",IF(N($V391)&lt;=0,0,($S391-N($U391))*MIN($AJ391,$V391)/$V391),IF($W391="Reducing balance",MIN(($S391-N($U391)),$S391-$S391*(1-N($AG391))^INT($AJ391/12)*(1-N($AG391)*MOD($AJ391,12)/12)),IF($W391="DDB",IF(N($V391)&lt;=0,0,MIN(($S391-N($U391)),$S391-$S391*(1-MIN(1,24/$V391))^INT($AJ391/12)*(1-MIN(1,24/$V391)*MOD($AJ391,12)/12))),IF($W391="SYD",IF(N($V391)&lt;=0,0,($S391-N($U391))*(INT(MIN($AJ391,$V391)/12)*(2*($V391/12)-INT(MIN($AJ391,$V391)/12)+1)/2+MOD(MIN($AJ391,$V391),12)/12*(($V391/12)-INT(MIN($AJ391,$V391)/12)))/(($V391/12)*(($V391/12)+1)/2)),0))))),2))</f>
        <v/>
      </c>
      <c r="Y391" s="23">
        <f>IF($X391="","",$S391-$X391)</f>
        <v/>
      </c>
      <c r="AD391" s="20" t="n"/>
      <c r="AG391" s="24" t="n"/>
      <c r="AH391" s="20" t="n"/>
      <c r="AI391" s="21" t="n"/>
      <c r="AJ391" s="25">
        <f>IF($R391="","",IF($R391&gt;IF($AH391&lt;&gt;"",MIN($AH391,Settings!$B$3),Settings!$B$3),0,(YEAR(IF($AH391&lt;&gt;"",MIN($AH391,Settings!$B$3),Settings!$B$3))-YEAR($R391))*12+MONTH(IF($AH391&lt;&gt;"",MIN($AH391,Settings!$B$3),Settings!$B$3))-MONTH($R391)+1))</f>
        <v/>
      </c>
      <c r="AK391" s="25">
        <f>IF($R391="","",IF($R391&gt;MIN(Settings!$B$4-1,IF($AH391&lt;&gt;"",MIN($AH391,Settings!$B$3),Settings!$B$3)),0,(YEAR(MIN(Settings!$B$4-1,IF($AH391&lt;&gt;"",MIN($AH391,Settings!$B$3),Settings!$B$3)))-YEAR($R391))*12+MONTH(MIN(Settings!$B$4-1,IF($AH391&lt;&gt;"",MIN($AH391,Settings!$B$3),Settings!$B$3)))-MONTH($R391)+1))</f>
        <v/>
      </c>
      <c r="AL391" s="23">
        <f>IF(OR($S391="",$R391=""),"",ROUND(MAX(0,IF($W391="Straight-line",IF(N($V391)&lt;=0,0,($S391-N($U391))*MIN($AK391,$V391)/$V391),IF($W391="Reducing balance",MIN(($S391-N($U391)),$S391-$S391*(1-N($AG391))^INT($AK391/12)*(1-N($AG391)*MOD($AK391,12)/12)),IF($W391="DDB",IF(N($V391)&lt;=0,0,MIN(($S391-N($U391)),$S391-$S391*(1-MIN(1,24/$V391))^INT($AK391/12)*(1-MIN(1,24/$V391)*MOD($AK391,12)/12))),IF($W391="SYD",IF(N($V391)&lt;=0,0,($S391-N($U391))*(INT(MIN($AK391,$V391)/12)*(2*($V391/12)-INT(MIN($AK391,$V391)/12)+1)/2+MOD(MIN($AK391,$V391),12)/12*(($V391/12)-INT(MIN($AK391,$V391)/12)))/(($V391/12)*(($V391/12)+1)/2)),0))))),2))</f>
        <v/>
      </c>
      <c r="AM391" s="23">
        <f>IF($X391="","",$X391-$AL391)</f>
        <v/>
      </c>
      <c r="AN391" s="23">
        <f>IF(OR($AH391="",$Y391=""),"",N($AI391)-$Y391)</f>
        <v/>
      </c>
    </row>
    <row r="392">
      <c r="Q392" s="20" t="n"/>
      <c r="R392" s="20" t="n"/>
      <c r="S392" s="21" t="n"/>
      <c r="U392" s="21" t="n"/>
      <c r="V392" s="22" t="n"/>
      <c r="X392" s="23">
        <f>IF(OR($S392="",$R392=""),"",ROUND(MAX(0,IF($W392="Straight-line",IF(N($V392)&lt;=0,0,($S392-N($U392))*MIN($AJ392,$V392)/$V392),IF($W392="Reducing balance",MIN(($S392-N($U392)),$S392-$S392*(1-N($AG392))^INT($AJ392/12)*(1-N($AG392)*MOD($AJ392,12)/12)),IF($W392="DDB",IF(N($V392)&lt;=0,0,MIN(($S392-N($U392)),$S392-$S392*(1-MIN(1,24/$V392))^INT($AJ392/12)*(1-MIN(1,24/$V392)*MOD($AJ392,12)/12))),IF($W392="SYD",IF(N($V392)&lt;=0,0,($S392-N($U392))*(INT(MIN($AJ392,$V392)/12)*(2*($V392/12)-INT(MIN($AJ392,$V392)/12)+1)/2+MOD(MIN($AJ392,$V392),12)/12*(($V392/12)-INT(MIN($AJ392,$V392)/12)))/(($V392/12)*(($V392/12)+1)/2)),0))))),2))</f>
        <v/>
      </c>
      <c r="Y392" s="23">
        <f>IF($X392="","",$S392-$X392)</f>
        <v/>
      </c>
      <c r="AD392" s="20" t="n"/>
      <c r="AG392" s="24" t="n"/>
      <c r="AH392" s="20" t="n"/>
      <c r="AI392" s="21" t="n"/>
      <c r="AJ392" s="25">
        <f>IF($R392="","",IF($R392&gt;IF($AH392&lt;&gt;"",MIN($AH392,Settings!$B$3),Settings!$B$3),0,(YEAR(IF($AH392&lt;&gt;"",MIN($AH392,Settings!$B$3),Settings!$B$3))-YEAR($R392))*12+MONTH(IF($AH392&lt;&gt;"",MIN($AH392,Settings!$B$3),Settings!$B$3))-MONTH($R392)+1))</f>
        <v/>
      </c>
      <c r="AK392" s="25">
        <f>IF($R392="","",IF($R392&gt;MIN(Settings!$B$4-1,IF($AH392&lt;&gt;"",MIN($AH392,Settings!$B$3),Settings!$B$3)),0,(YEAR(MIN(Settings!$B$4-1,IF($AH392&lt;&gt;"",MIN($AH392,Settings!$B$3),Settings!$B$3)))-YEAR($R392))*12+MONTH(MIN(Settings!$B$4-1,IF($AH392&lt;&gt;"",MIN($AH392,Settings!$B$3),Settings!$B$3)))-MONTH($R392)+1))</f>
        <v/>
      </c>
      <c r="AL392" s="23">
        <f>IF(OR($S392="",$R392=""),"",ROUND(MAX(0,IF($W392="Straight-line",IF(N($V392)&lt;=0,0,($S392-N($U392))*MIN($AK392,$V392)/$V392),IF($W392="Reducing balance",MIN(($S392-N($U392)),$S392-$S392*(1-N($AG392))^INT($AK392/12)*(1-N($AG392)*MOD($AK392,12)/12)),IF($W392="DDB",IF(N($V392)&lt;=0,0,MIN(($S392-N($U392)),$S392-$S392*(1-MIN(1,24/$V392))^INT($AK392/12)*(1-MIN(1,24/$V392)*MOD($AK392,12)/12))),IF($W392="SYD",IF(N($V392)&lt;=0,0,($S392-N($U392))*(INT(MIN($AK392,$V392)/12)*(2*($V392/12)-INT(MIN($AK392,$V392)/12)+1)/2+MOD(MIN($AK392,$V392),12)/12*(($V392/12)-INT(MIN($AK392,$V392)/12)))/(($V392/12)*(($V392/12)+1)/2)),0))))),2))</f>
        <v/>
      </c>
      <c r="AM392" s="23">
        <f>IF($X392="","",$X392-$AL392)</f>
        <v/>
      </c>
      <c r="AN392" s="23">
        <f>IF(OR($AH392="",$Y392=""),"",N($AI392)-$Y392)</f>
        <v/>
      </c>
    </row>
    <row r="393">
      <c r="Q393" s="20" t="n"/>
      <c r="R393" s="20" t="n"/>
      <c r="S393" s="21" t="n"/>
      <c r="U393" s="21" t="n"/>
      <c r="V393" s="22" t="n"/>
      <c r="X393" s="23">
        <f>IF(OR($S393="",$R393=""),"",ROUND(MAX(0,IF($W393="Straight-line",IF(N($V393)&lt;=0,0,($S393-N($U393))*MIN($AJ393,$V393)/$V393),IF($W393="Reducing balance",MIN(($S393-N($U393)),$S393-$S393*(1-N($AG393))^INT($AJ393/12)*(1-N($AG393)*MOD($AJ393,12)/12)),IF($W393="DDB",IF(N($V393)&lt;=0,0,MIN(($S393-N($U393)),$S393-$S393*(1-MIN(1,24/$V393))^INT($AJ393/12)*(1-MIN(1,24/$V393)*MOD($AJ393,12)/12))),IF($W393="SYD",IF(N($V393)&lt;=0,0,($S393-N($U393))*(INT(MIN($AJ393,$V393)/12)*(2*($V393/12)-INT(MIN($AJ393,$V393)/12)+1)/2+MOD(MIN($AJ393,$V393),12)/12*(($V393/12)-INT(MIN($AJ393,$V393)/12)))/(($V393/12)*(($V393/12)+1)/2)),0))))),2))</f>
        <v/>
      </c>
      <c r="Y393" s="23">
        <f>IF($X393="","",$S393-$X393)</f>
        <v/>
      </c>
      <c r="AD393" s="20" t="n"/>
      <c r="AG393" s="24" t="n"/>
      <c r="AH393" s="20" t="n"/>
      <c r="AI393" s="21" t="n"/>
      <c r="AJ393" s="25">
        <f>IF($R393="","",IF($R393&gt;IF($AH393&lt;&gt;"",MIN($AH393,Settings!$B$3),Settings!$B$3),0,(YEAR(IF($AH393&lt;&gt;"",MIN($AH393,Settings!$B$3),Settings!$B$3))-YEAR($R393))*12+MONTH(IF($AH393&lt;&gt;"",MIN($AH393,Settings!$B$3),Settings!$B$3))-MONTH($R393)+1))</f>
        <v/>
      </c>
      <c r="AK393" s="25">
        <f>IF($R393="","",IF($R393&gt;MIN(Settings!$B$4-1,IF($AH393&lt;&gt;"",MIN($AH393,Settings!$B$3),Settings!$B$3)),0,(YEAR(MIN(Settings!$B$4-1,IF($AH393&lt;&gt;"",MIN($AH393,Settings!$B$3),Settings!$B$3)))-YEAR($R393))*12+MONTH(MIN(Settings!$B$4-1,IF($AH393&lt;&gt;"",MIN($AH393,Settings!$B$3),Settings!$B$3)))-MONTH($R393)+1))</f>
        <v/>
      </c>
      <c r="AL393" s="23">
        <f>IF(OR($S393="",$R393=""),"",ROUND(MAX(0,IF($W393="Straight-line",IF(N($V393)&lt;=0,0,($S393-N($U393))*MIN($AK393,$V393)/$V393),IF($W393="Reducing balance",MIN(($S393-N($U393)),$S393-$S393*(1-N($AG393))^INT($AK393/12)*(1-N($AG393)*MOD($AK393,12)/12)),IF($W393="DDB",IF(N($V393)&lt;=0,0,MIN(($S393-N($U393)),$S393-$S393*(1-MIN(1,24/$V393))^INT($AK393/12)*(1-MIN(1,24/$V393)*MOD($AK393,12)/12))),IF($W393="SYD",IF(N($V393)&lt;=0,0,($S393-N($U393))*(INT(MIN($AK393,$V393)/12)*(2*($V393/12)-INT(MIN($AK393,$V393)/12)+1)/2+MOD(MIN($AK393,$V393),12)/12*(($V393/12)-INT(MIN($AK393,$V393)/12)))/(($V393/12)*(($V393/12)+1)/2)),0))))),2))</f>
        <v/>
      </c>
      <c r="AM393" s="23">
        <f>IF($X393="","",$X393-$AL393)</f>
        <v/>
      </c>
      <c r="AN393" s="23">
        <f>IF(OR($AH393="",$Y393=""),"",N($AI393)-$Y393)</f>
        <v/>
      </c>
    </row>
    <row r="394">
      <c r="Q394" s="20" t="n"/>
      <c r="R394" s="20" t="n"/>
      <c r="S394" s="21" t="n"/>
      <c r="U394" s="21" t="n"/>
      <c r="V394" s="22" t="n"/>
      <c r="X394" s="23">
        <f>IF(OR($S394="",$R394=""),"",ROUND(MAX(0,IF($W394="Straight-line",IF(N($V394)&lt;=0,0,($S394-N($U394))*MIN($AJ394,$V394)/$V394),IF($W394="Reducing balance",MIN(($S394-N($U394)),$S394-$S394*(1-N($AG394))^INT($AJ394/12)*(1-N($AG394)*MOD($AJ394,12)/12)),IF($W394="DDB",IF(N($V394)&lt;=0,0,MIN(($S394-N($U394)),$S394-$S394*(1-MIN(1,24/$V394))^INT($AJ394/12)*(1-MIN(1,24/$V394)*MOD($AJ394,12)/12))),IF($W394="SYD",IF(N($V394)&lt;=0,0,($S394-N($U394))*(INT(MIN($AJ394,$V394)/12)*(2*($V394/12)-INT(MIN($AJ394,$V394)/12)+1)/2+MOD(MIN($AJ394,$V394),12)/12*(($V394/12)-INT(MIN($AJ394,$V394)/12)))/(($V394/12)*(($V394/12)+1)/2)),0))))),2))</f>
        <v/>
      </c>
      <c r="Y394" s="23">
        <f>IF($X394="","",$S394-$X394)</f>
        <v/>
      </c>
      <c r="AD394" s="20" t="n"/>
      <c r="AG394" s="24" t="n"/>
      <c r="AH394" s="20" t="n"/>
      <c r="AI394" s="21" t="n"/>
      <c r="AJ394" s="25">
        <f>IF($R394="","",IF($R394&gt;IF($AH394&lt;&gt;"",MIN($AH394,Settings!$B$3),Settings!$B$3),0,(YEAR(IF($AH394&lt;&gt;"",MIN($AH394,Settings!$B$3),Settings!$B$3))-YEAR($R394))*12+MONTH(IF($AH394&lt;&gt;"",MIN($AH394,Settings!$B$3),Settings!$B$3))-MONTH($R394)+1))</f>
        <v/>
      </c>
      <c r="AK394" s="25">
        <f>IF($R394="","",IF($R394&gt;MIN(Settings!$B$4-1,IF($AH394&lt;&gt;"",MIN($AH394,Settings!$B$3),Settings!$B$3)),0,(YEAR(MIN(Settings!$B$4-1,IF($AH394&lt;&gt;"",MIN($AH394,Settings!$B$3),Settings!$B$3)))-YEAR($R394))*12+MONTH(MIN(Settings!$B$4-1,IF($AH394&lt;&gt;"",MIN($AH394,Settings!$B$3),Settings!$B$3)))-MONTH($R394)+1))</f>
        <v/>
      </c>
      <c r="AL394" s="23">
        <f>IF(OR($S394="",$R394=""),"",ROUND(MAX(0,IF($W394="Straight-line",IF(N($V394)&lt;=0,0,($S394-N($U394))*MIN($AK394,$V394)/$V394),IF($W394="Reducing balance",MIN(($S394-N($U394)),$S394-$S394*(1-N($AG394))^INT($AK394/12)*(1-N($AG394)*MOD($AK394,12)/12)),IF($W394="DDB",IF(N($V394)&lt;=0,0,MIN(($S394-N($U394)),$S394-$S394*(1-MIN(1,24/$V394))^INT($AK394/12)*(1-MIN(1,24/$V394)*MOD($AK394,12)/12))),IF($W394="SYD",IF(N($V394)&lt;=0,0,($S394-N($U394))*(INT(MIN($AK394,$V394)/12)*(2*($V394/12)-INT(MIN($AK394,$V394)/12)+1)/2+MOD(MIN($AK394,$V394),12)/12*(($V394/12)-INT(MIN($AK394,$V394)/12)))/(($V394/12)*(($V394/12)+1)/2)),0))))),2))</f>
        <v/>
      </c>
      <c r="AM394" s="23">
        <f>IF($X394="","",$X394-$AL394)</f>
        <v/>
      </c>
      <c r="AN394" s="23">
        <f>IF(OR($AH394="",$Y394=""),"",N($AI394)-$Y394)</f>
        <v/>
      </c>
    </row>
    <row r="395">
      <c r="Q395" s="20" t="n"/>
      <c r="R395" s="20" t="n"/>
      <c r="S395" s="21" t="n"/>
      <c r="U395" s="21" t="n"/>
      <c r="V395" s="22" t="n"/>
      <c r="X395" s="23">
        <f>IF(OR($S395="",$R395=""),"",ROUND(MAX(0,IF($W395="Straight-line",IF(N($V395)&lt;=0,0,($S395-N($U395))*MIN($AJ395,$V395)/$V395),IF($W395="Reducing balance",MIN(($S395-N($U395)),$S395-$S395*(1-N($AG395))^INT($AJ395/12)*(1-N($AG395)*MOD($AJ395,12)/12)),IF($W395="DDB",IF(N($V395)&lt;=0,0,MIN(($S395-N($U395)),$S395-$S395*(1-MIN(1,24/$V395))^INT($AJ395/12)*(1-MIN(1,24/$V395)*MOD($AJ395,12)/12))),IF($W395="SYD",IF(N($V395)&lt;=0,0,($S395-N($U395))*(INT(MIN($AJ395,$V395)/12)*(2*($V395/12)-INT(MIN($AJ395,$V395)/12)+1)/2+MOD(MIN($AJ395,$V395),12)/12*(($V395/12)-INT(MIN($AJ395,$V395)/12)))/(($V395/12)*(($V395/12)+1)/2)),0))))),2))</f>
        <v/>
      </c>
      <c r="Y395" s="23">
        <f>IF($X395="","",$S395-$X395)</f>
        <v/>
      </c>
      <c r="AD395" s="20" t="n"/>
      <c r="AG395" s="24" t="n"/>
      <c r="AH395" s="20" t="n"/>
      <c r="AI395" s="21" t="n"/>
      <c r="AJ395" s="25">
        <f>IF($R395="","",IF($R395&gt;IF($AH395&lt;&gt;"",MIN($AH395,Settings!$B$3),Settings!$B$3),0,(YEAR(IF($AH395&lt;&gt;"",MIN($AH395,Settings!$B$3),Settings!$B$3))-YEAR($R395))*12+MONTH(IF($AH395&lt;&gt;"",MIN($AH395,Settings!$B$3),Settings!$B$3))-MONTH($R395)+1))</f>
        <v/>
      </c>
      <c r="AK395" s="25">
        <f>IF($R395="","",IF($R395&gt;MIN(Settings!$B$4-1,IF($AH395&lt;&gt;"",MIN($AH395,Settings!$B$3),Settings!$B$3)),0,(YEAR(MIN(Settings!$B$4-1,IF($AH395&lt;&gt;"",MIN($AH395,Settings!$B$3),Settings!$B$3)))-YEAR($R395))*12+MONTH(MIN(Settings!$B$4-1,IF($AH395&lt;&gt;"",MIN($AH395,Settings!$B$3),Settings!$B$3)))-MONTH($R395)+1))</f>
        <v/>
      </c>
      <c r="AL395" s="23">
        <f>IF(OR($S395="",$R395=""),"",ROUND(MAX(0,IF($W395="Straight-line",IF(N($V395)&lt;=0,0,($S395-N($U395))*MIN($AK395,$V395)/$V395),IF($W395="Reducing balance",MIN(($S395-N($U395)),$S395-$S395*(1-N($AG395))^INT($AK395/12)*(1-N($AG395)*MOD($AK395,12)/12)),IF($W395="DDB",IF(N($V395)&lt;=0,0,MIN(($S395-N($U395)),$S395-$S395*(1-MIN(1,24/$V395))^INT($AK395/12)*(1-MIN(1,24/$V395)*MOD($AK395,12)/12))),IF($W395="SYD",IF(N($V395)&lt;=0,0,($S395-N($U395))*(INT(MIN($AK395,$V395)/12)*(2*($V395/12)-INT(MIN($AK395,$V395)/12)+1)/2+MOD(MIN($AK395,$V395),12)/12*(($V395/12)-INT(MIN($AK395,$V395)/12)))/(($V395/12)*(($V395/12)+1)/2)),0))))),2))</f>
        <v/>
      </c>
      <c r="AM395" s="23">
        <f>IF($X395="","",$X395-$AL395)</f>
        <v/>
      </c>
      <c r="AN395" s="23">
        <f>IF(OR($AH395="",$Y395=""),"",N($AI395)-$Y395)</f>
        <v/>
      </c>
    </row>
    <row r="396">
      <c r="Q396" s="20" t="n"/>
      <c r="R396" s="20" t="n"/>
      <c r="S396" s="21" t="n"/>
      <c r="U396" s="21" t="n"/>
      <c r="V396" s="22" t="n"/>
      <c r="X396" s="23">
        <f>IF(OR($S396="",$R396=""),"",ROUND(MAX(0,IF($W396="Straight-line",IF(N($V396)&lt;=0,0,($S396-N($U396))*MIN($AJ396,$V396)/$V396),IF($W396="Reducing balance",MIN(($S396-N($U396)),$S396-$S396*(1-N($AG396))^INT($AJ396/12)*(1-N($AG396)*MOD($AJ396,12)/12)),IF($W396="DDB",IF(N($V396)&lt;=0,0,MIN(($S396-N($U396)),$S396-$S396*(1-MIN(1,24/$V396))^INT($AJ396/12)*(1-MIN(1,24/$V396)*MOD($AJ396,12)/12))),IF($W396="SYD",IF(N($V396)&lt;=0,0,($S396-N($U396))*(INT(MIN($AJ396,$V396)/12)*(2*($V396/12)-INT(MIN($AJ396,$V396)/12)+1)/2+MOD(MIN($AJ396,$V396),12)/12*(($V396/12)-INT(MIN($AJ396,$V396)/12)))/(($V396/12)*(($V396/12)+1)/2)),0))))),2))</f>
        <v/>
      </c>
      <c r="Y396" s="23">
        <f>IF($X396="","",$S396-$X396)</f>
        <v/>
      </c>
      <c r="AD396" s="20" t="n"/>
      <c r="AG396" s="24" t="n"/>
      <c r="AH396" s="20" t="n"/>
      <c r="AI396" s="21" t="n"/>
      <c r="AJ396" s="25">
        <f>IF($R396="","",IF($R396&gt;IF($AH396&lt;&gt;"",MIN($AH396,Settings!$B$3),Settings!$B$3),0,(YEAR(IF($AH396&lt;&gt;"",MIN($AH396,Settings!$B$3),Settings!$B$3))-YEAR($R396))*12+MONTH(IF($AH396&lt;&gt;"",MIN($AH396,Settings!$B$3),Settings!$B$3))-MONTH($R396)+1))</f>
        <v/>
      </c>
      <c r="AK396" s="25">
        <f>IF($R396="","",IF($R396&gt;MIN(Settings!$B$4-1,IF($AH396&lt;&gt;"",MIN($AH396,Settings!$B$3),Settings!$B$3)),0,(YEAR(MIN(Settings!$B$4-1,IF($AH396&lt;&gt;"",MIN($AH396,Settings!$B$3),Settings!$B$3)))-YEAR($R396))*12+MONTH(MIN(Settings!$B$4-1,IF($AH396&lt;&gt;"",MIN($AH396,Settings!$B$3),Settings!$B$3)))-MONTH($R396)+1))</f>
        <v/>
      </c>
      <c r="AL396" s="23">
        <f>IF(OR($S396="",$R396=""),"",ROUND(MAX(0,IF($W396="Straight-line",IF(N($V396)&lt;=0,0,($S396-N($U396))*MIN($AK396,$V396)/$V396),IF($W396="Reducing balance",MIN(($S396-N($U396)),$S396-$S396*(1-N($AG396))^INT($AK396/12)*(1-N($AG396)*MOD($AK396,12)/12)),IF($W396="DDB",IF(N($V396)&lt;=0,0,MIN(($S396-N($U396)),$S396-$S396*(1-MIN(1,24/$V396))^INT($AK396/12)*(1-MIN(1,24/$V396)*MOD($AK396,12)/12))),IF($W396="SYD",IF(N($V396)&lt;=0,0,($S396-N($U396))*(INT(MIN($AK396,$V396)/12)*(2*($V396/12)-INT(MIN($AK396,$V396)/12)+1)/2+MOD(MIN($AK396,$V396),12)/12*(($V396/12)-INT(MIN($AK396,$V396)/12)))/(($V396/12)*(($V396/12)+1)/2)),0))))),2))</f>
        <v/>
      </c>
      <c r="AM396" s="23">
        <f>IF($X396="","",$X396-$AL396)</f>
        <v/>
      </c>
      <c r="AN396" s="23">
        <f>IF(OR($AH396="",$Y396=""),"",N($AI396)-$Y396)</f>
        <v/>
      </c>
    </row>
    <row r="397">
      <c r="Q397" s="20" t="n"/>
      <c r="R397" s="20" t="n"/>
      <c r="S397" s="21" t="n"/>
      <c r="U397" s="21" t="n"/>
      <c r="V397" s="22" t="n"/>
      <c r="X397" s="23">
        <f>IF(OR($S397="",$R397=""),"",ROUND(MAX(0,IF($W397="Straight-line",IF(N($V397)&lt;=0,0,($S397-N($U397))*MIN($AJ397,$V397)/$V397),IF($W397="Reducing balance",MIN(($S397-N($U397)),$S397-$S397*(1-N($AG397))^INT($AJ397/12)*(1-N($AG397)*MOD($AJ397,12)/12)),IF($W397="DDB",IF(N($V397)&lt;=0,0,MIN(($S397-N($U397)),$S397-$S397*(1-MIN(1,24/$V397))^INT($AJ397/12)*(1-MIN(1,24/$V397)*MOD($AJ397,12)/12))),IF($W397="SYD",IF(N($V397)&lt;=0,0,($S397-N($U397))*(INT(MIN($AJ397,$V397)/12)*(2*($V397/12)-INT(MIN($AJ397,$V397)/12)+1)/2+MOD(MIN($AJ397,$V397),12)/12*(($V397/12)-INT(MIN($AJ397,$V397)/12)))/(($V397/12)*(($V397/12)+1)/2)),0))))),2))</f>
        <v/>
      </c>
      <c r="Y397" s="23">
        <f>IF($X397="","",$S397-$X397)</f>
        <v/>
      </c>
      <c r="AD397" s="20" t="n"/>
      <c r="AG397" s="24" t="n"/>
      <c r="AH397" s="20" t="n"/>
      <c r="AI397" s="21" t="n"/>
      <c r="AJ397" s="25">
        <f>IF($R397="","",IF($R397&gt;IF($AH397&lt;&gt;"",MIN($AH397,Settings!$B$3),Settings!$B$3),0,(YEAR(IF($AH397&lt;&gt;"",MIN($AH397,Settings!$B$3),Settings!$B$3))-YEAR($R397))*12+MONTH(IF($AH397&lt;&gt;"",MIN($AH397,Settings!$B$3),Settings!$B$3))-MONTH($R397)+1))</f>
        <v/>
      </c>
      <c r="AK397" s="25">
        <f>IF($R397="","",IF($R397&gt;MIN(Settings!$B$4-1,IF($AH397&lt;&gt;"",MIN($AH397,Settings!$B$3),Settings!$B$3)),0,(YEAR(MIN(Settings!$B$4-1,IF($AH397&lt;&gt;"",MIN($AH397,Settings!$B$3),Settings!$B$3)))-YEAR($R397))*12+MONTH(MIN(Settings!$B$4-1,IF($AH397&lt;&gt;"",MIN($AH397,Settings!$B$3),Settings!$B$3)))-MONTH($R397)+1))</f>
        <v/>
      </c>
      <c r="AL397" s="23">
        <f>IF(OR($S397="",$R397=""),"",ROUND(MAX(0,IF($W397="Straight-line",IF(N($V397)&lt;=0,0,($S397-N($U397))*MIN($AK397,$V397)/$V397),IF($W397="Reducing balance",MIN(($S397-N($U397)),$S397-$S397*(1-N($AG397))^INT($AK397/12)*(1-N($AG397)*MOD($AK397,12)/12)),IF($W397="DDB",IF(N($V397)&lt;=0,0,MIN(($S397-N($U397)),$S397-$S397*(1-MIN(1,24/$V397))^INT($AK397/12)*(1-MIN(1,24/$V397)*MOD($AK397,12)/12))),IF($W397="SYD",IF(N($V397)&lt;=0,0,($S397-N($U397))*(INT(MIN($AK397,$V397)/12)*(2*($V397/12)-INT(MIN($AK397,$V397)/12)+1)/2+MOD(MIN($AK397,$V397),12)/12*(($V397/12)-INT(MIN($AK397,$V397)/12)))/(($V397/12)*(($V397/12)+1)/2)),0))))),2))</f>
        <v/>
      </c>
      <c r="AM397" s="23">
        <f>IF($X397="","",$X397-$AL397)</f>
        <v/>
      </c>
      <c r="AN397" s="23">
        <f>IF(OR($AH397="",$Y397=""),"",N($AI397)-$Y397)</f>
        <v/>
      </c>
    </row>
    <row r="398">
      <c r="Q398" s="20" t="n"/>
      <c r="R398" s="20" t="n"/>
      <c r="S398" s="21" t="n"/>
      <c r="U398" s="21" t="n"/>
      <c r="V398" s="22" t="n"/>
      <c r="X398" s="23">
        <f>IF(OR($S398="",$R398=""),"",ROUND(MAX(0,IF($W398="Straight-line",IF(N($V398)&lt;=0,0,($S398-N($U398))*MIN($AJ398,$V398)/$V398),IF($W398="Reducing balance",MIN(($S398-N($U398)),$S398-$S398*(1-N($AG398))^INT($AJ398/12)*(1-N($AG398)*MOD($AJ398,12)/12)),IF($W398="DDB",IF(N($V398)&lt;=0,0,MIN(($S398-N($U398)),$S398-$S398*(1-MIN(1,24/$V398))^INT($AJ398/12)*(1-MIN(1,24/$V398)*MOD($AJ398,12)/12))),IF($W398="SYD",IF(N($V398)&lt;=0,0,($S398-N($U398))*(INT(MIN($AJ398,$V398)/12)*(2*($V398/12)-INT(MIN($AJ398,$V398)/12)+1)/2+MOD(MIN($AJ398,$V398),12)/12*(($V398/12)-INT(MIN($AJ398,$V398)/12)))/(($V398/12)*(($V398/12)+1)/2)),0))))),2))</f>
        <v/>
      </c>
      <c r="Y398" s="23">
        <f>IF($X398="","",$S398-$X398)</f>
        <v/>
      </c>
      <c r="AD398" s="20" t="n"/>
      <c r="AG398" s="24" t="n"/>
      <c r="AH398" s="20" t="n"/>
      <c r="AI398" s="21" t="n"/>
      <c r="AJ398" s="25">
        <f>IF($R398="","",IF($R398&gt;IF($AH398&lt;&gt;"",MIN($AH398,Settings!$B$3),Settings!$B$3),0,(YEAR(IF($AH398&lt;&gt;"",MIN($AH398,Settings!$B$3),Settings!$B$3))-YEAR($R398))*12+MONTH(IF($AH398&lt;&gt;"",MIN($AH398,Settings!$B$3),Settings!$B$3))-MONTH($R398)+1))</f>
        <v/>
      </c>
      <c r="AK398" s="25">
        <f>IF($R398="","",IF($R398&gt;MIN(Settings!$B$4-1,IF($AH398&lt;&gt;"",MIN($AH398,Settings!$B$3),Settings!$B$3)),0,(YEAR(MIN(Settings!$B$4-1,IF($AH398&lt;&gt;"",MIN($AH398,Settings!$B$3),Settings!$B$3)))-YEAR($R398))*12+MONTH(MIN(Settings!$B$4-1,IF($AH398&lt;&gt;"",MIN($AH398,Settings!$B$3),Settings!$B$3)))-MONTH($R398)+1))</f>
        <v/>
      </c>
      <c r="AL398" s="23">
        <f>IF(OR($S398="",$R398=""),"",ROUND(MAX(0,IF($W398="Straight-line",IF(N($V398)&lt;=0,0,($S398-N($U398))*MIN($AK398,$V398)/$V398),IF($W398="Reducing balance",MIN(($S398-N($U398)),$S398-$S398*(1-N($AG398))^INT($AK398/12)*(1-N($AG398)*MOD($AK398,12)/12)),IF($W398="DDB",IF(N($V398)&lt;=0,0,MIN(($S398-N($U398)),$S398-$S398*(1-MIN(1,24/$V398))^INT($AK398/12)*(1-MIN(1,24/$V398)*MOD($AK398,12)/12))),IF($W398="SYD",IF(N($V398)&lt;=0,0,($S398-N($U398))*(INT(MIN($AK398,$V398)/12)*(2*($V398/12)-INT(MIN($AK398,$V398)/12)+1)/2+MOD(MIN($AK398,$V398),12)/12*(($V398/12)-INT(MIN($AK398,$V398)/12)))/(($V398/12)*(($V398/12)+1)/2)),0))))),2))</f>
        <v/>
      </c>
      <c r="AM398" s="23">
        <f>IF($X398="","",$X398-$AL398)</f>
        <v/>
      </c>
      <c r="AN398" s="23">
        <f>IF(OR($AH398="",$Y398=""),"",N($AI398)-$Y398)</f>
        <v/>
      </c>
    </row>
    <row r="399">
      <c r="Q399" s="20" t="n"/>
      <c r="R399" s="20" t="n"/>
      <c r="S399" s="21" t="n"/>
      <c r="U399" s="21" t="n"/>
      <c r="V399" s="22" t="n"/>
      <c r="X399" s="23">
        <f>IF(OR($S399="",$R399=""),"",ROUND(MAX(0,IF($W399="Straight-line",IF(N($V399)&lt;=0,0,($S399-N($U399))*MIN($AJ399,$V399)/$V399),IF($W399="Reducing balance",MIN(($S399-N($U399)),$S399-$S399*(1-N($AG399))^INT($AJ399/12)*(1-N($AG399)*MOD($AJ399,12)/12)),IF($W399="DDB",IF(N($V399)&lt;=0,0,MIN(($S399-N($U399)),$S399-$S399*(1-MIN(1,24/$V399))^INT($AJ399/12)*(1-MIN(1,24/$V399)*MOD($AJ399,12)/12))),IF($W399="SYD",IF(N($V399)&lt;=0,0,($S399-N($U399))*(INT(MIN($AJ399,$V399)/12)*(2*($V399/12)-INT(MIN($AJ399,$V399)/12)+1)/2+MOD(MIN($AJ399,$V399),12)/12*(($V399/12)-INT(MIN($AJ399,$V399)/12)))/(($V399/12)*(($V399/12)+1)/2)),0))))),2))</f>
        <v/>
      </c>
      <c r="Y399" s="23">
        <f>IF($X399="","",$S399-$X399)</f>
        <v/>
      </c>
      <c r="AD399" s="20" t="n"/>
      <c r="AG399" s="24" t="n"/>
      <c r="AH399" s="20" t="n"/>
      <c r="AI399" s="21" t="n"/>
      <c r="AJ399" s="25">
        <f>IF($R399="","",IF($R399&gt;IF($AH399&lt;&gt;"",MIN($AH399,Settings!$B$3),Settings!$B$3),0,(YEAR(IF($AH399&lt;&gt;"",MIN($AH399,Settings!$B$3),Settings!$B$3))-YEAR($R399))*12+MONTH(IF($AH399&lt;&gt;"",MIN($AH399,Settings!$B$3),Settings!$B$3))-MONTH($R399)+1))</f>
        <v/>
      </c>
      <c r="AK399" s="25">
        <f>IF($R399="","",IF($R399&gt;MIN(Settings!$B$4-1,IF($AH399&lt;&gt;"",MIN($AH399,Settings!$B$3),Settings!$B$3)),0,(YEAR(MIN(Settings!$B$4-1,IF($AH399&lt;&gt;"",MIN($AH399,Settings!$B$3),Settings!$B$3)))-YEAR($R399))*12+MONTH(MIN(Settings!$B$4-1,IF($AH399&lt;&gt;"",MIN($AH399,Settings!$B$3),Settings!$B$3)))-MONTH($R399)+1))</f>
        <v/>
      </c>
      <c r="AL399" s="23">
        <f>IF(OR($S399="",$R399=""),"",ROUND(MAX(0,IF($W399="Straight-line",IF(N($V399)&lt;=0,0,($S399-N($U399))*MIN($AK399,$V399)/$V399),IF($W399="Reducing balance",MIN(($S399-N($U399)),$S399-$S399*(1-N($AG399))^INT($AK399/12)*(1-N($AG399)*MOD($AK399,12)/12)),IF($W399="DDB",IF(N($V399)&lt;=0,0,MIN(($S399-N($U399)),$S399-$S399*(1-MIN(1,24/$V399))^INT($AK399/12)*(1-MIN(1,24/$V399)*MOD($AK399,12)/12))),IF($W399="SYD",IF(N($V399)&lt;=0,0,($S399-N($U399))*(INT(MIN($AK399,$V399)/12)*(2*($V399/12)-INT(MIN($AK399,$V399)/12)+1)/2+MOD(MIN($AK399,$V399),12)/12*(($V399/12)-INT(MIN($AK399,$V399)/12)))/(($V399/12)*(($V399/12)+1)/2)),0))))),2))</f>
        <v/>
      </c>
      <c r="AM399" s="23">
        <f>IF($X399="","",$X399-$AL399)</f>
        <v/>
      </c>
      <c r="AN399" s="23">
        <f>IF(OR($AH399="",$Y399=""),"",N($AI399)-$Y399)</f>
        <v/>
      </c>
    </row>
    <row r="400">
      <c r="Q400" s="20" t="n"/>
      <c r="R400" s="20" t="n"/>
      <c r="S400" s="21" t="n"/>
      <c r="U400" s="21" t="n"/>
      <c r="V400" s="22" t="n"/>
      <c r="X400" s="23">
        <f>IF(OR($S400="",$R400=""),"",ROUND(MAX(0,IF($W400="Straight-line",IF(N($V400)&lt;=0,0,($S400-N($U400))*MIN($AJ400,$V400)/$V400),IF($W400="Reducing balance",MIN(($S400-N($U400)),$S400-$S400*(1-N($AG400))^INT($AJ400/12)*(1-N($AG400)*MOD($AJ400,12)/12)),IF($W400="DDB",IF(N($V400)&lt;=0,0,MIN(($S400-N($U400)),$S400-$S400*(1-MIN(1,24/$V400))^INT($AJ400/12)*(1-MIN(1,24/$V400)*MOD($AJ400,12)/12))),IF($W400="SYD",IF(N($V400)&lt;=0,0,($S400-N($U400))*(INT(MIN($AJ400,$V400)/12)*(2*($V400/12)-INT(MIN($AJ400,$V400)/12)+1)/2+MOD(MIN($AJ400,$V400),12)/12*(($V400/12)-INT(MIN($AJ400,$V400)/12)))/(($V400/12)*(($V400/12)+1)/2)),0))))),2))</f>
        <v/>
      </c>
      <c r="Y400" s="23">
        <f>IF($X400="","",$S400-$X400)</f>
        <v/>
      </c>
      <c r="AD400" s="20" t="n"/>
      <c r="AG400" s="24" t="n"/>
      <c r="AH400" s="20" t="n"/>
      <c r="AI400" s="21" t="n"/>
      <c r="AJ400" s="25">
        <f>IF($R400="","",IF($R400&gt;IF($AH400&lt;&gt;"",MIN($AH400,Settings!$B$3),Settings!$B$3),0,(YEAR(IF($AH400&lt;&gt;"",MIN($AH400,Settings!$B$3),Settings!$B$3))-YEAR($R400))*12+MONTH(IF($AH400&lt;&gt;"",MIN($AH400,Settings!$B$3),Settings!$B$3))-MONTH($R400)+1))</f>
        <v/>
      </c>
      <c r="AK400" s="25">
        <f>IF($R400="","",IF($R400&gt;MIN(Settings!$B$4-1,IF($AH400&lt;&gt;"",MIN($AH400,Settings!$B$3),Settings!$B$3)),0,(YEAR(MIN(Settings!$B$4-1,IF($AH400&lt;&gt;"",MIN($AH400,Settings!$B$3),Settings!$B$3)))-YEAR($R400))*12+MONTH(MIN(Settings!$B$4-1,IF($AH400&lt;&gt;"",MIN($AH400,Settings!$B$3),Settings!$B$3)))-MONTH($R400)+1))</f>
        <v/>
      </c>
      <c r="AL400" s="23">
        <f>IF(OR($S400="",$R400=""),"",ROUND(MAX(0,IF($W400="Straight-line",IF(N($V400)&lt;=0,0,($S400-N($U400))*MIN($AK400,$V400)/$V400),IF($W400="Reducing balance",MIN(($S400-N($U400)),$S400-$S400*(1-N($AG400))^INT($AK400/12)*(1-N($AG400)*MOD($AK400,12)/12)),IF($W400="DDB",IF(N($V400)&lt;=0,0,MIN(($S400-N($U400)),$S400-$S400*(1-MIN(1,24/$V400))^INT($AK400/12)*(1-MIN(1,24/$V400)*MOD($AK400,12)/12))),IF($W400="SYD",IF(N($V400)&lt;=0,0,($S400-N($U400))*(INT(MIN($AK400,$V400)/12)*(2*($V400/12)-INT(MIN($AK400,$V400)/12)+1)/2+MOD(MIN($AK400,$V400),12)/12*(($V400/12)-INT(MIN($AK400,$V400)/12)))/(($V400/12)*(($V400/12)+1)/2)),0))))),2))</f>
        <v/>
      </c>
      <c r="AM400" s="23">
        <f>IF($X400="","",$X400-$AL400)</f>
        <v/>
      </c>
      <c r="AN400" s="23">
        <f>IF(OR($AH400="",$Y400=""),"",N($AI400)-$Y400)</f>
        <v/>
      </c>
    </row>
    <row r="401">
      <c r="Q401" s="20" t="n"/>
      <c r="R401" s="20" t="n"/>
      <c r="S401" s="21" t="n"/>
      <c r="U401" s="21" t="n"/>
      <c r="V401" s="22" t="n"/>
      <c r="X401" s="23">
        <f>IF(OR($S401="",$R401=""),"",ROUND(MAX(0,IF($W401="Straight-line",IF(N($V401)&lt;=0,0,($S401-N($U401))*MIN($AJ401,$V401)/$V401),IF($W401="Reducing balance",MIN(($S401-N($U401)),$S401-$S401*(1-N($AG401))^INT($AJ401/12)*(1-N($AG401)*MOD($AJ401,12)/12)),IF($W401="DDB",IF(N($V401)&lt;=0,0,MIN(($S401-N($U401)),$S401-$S401*(1-MIN(1,24/$V401))^INT($AJ401/12)*(1-MIN(1,24/$V401)*MOD($AJ401,12)/12))),IF($W401="SYD",IF(N($V401)&lt;=0,0,($S401-N($U401))*(INT(MIN($AJ401,$V401)/12)*(2*($V401/12)-INT(MIN($AJ401,$V401)/12)+1)/2+MOD(MIN($AJ401,$V401),12)/12*(($V401/12)-INT(MIN($AJ401,$V401)/12)))/(($V401/12)*(($V401/12)+1)/2)),0))))),2))</f>
        <v/>
      </c>
      <c r="Y401" s="23">
        <f>IF($X401="","",$S401-$X401)</f>
        <v/>
      </c>
      <c r="AD401" s="20" t="n"/>
      <c r="AG401" s="24" t="n"/>
      <c r="AH401" s="20" t="n"/>
      <c r="AI401" s="21" t="n"/>
      <c r="AJ401" s="25">
        <f>IF($R401="","",IF($R401&gt;IF($AH401&lt;&gt;"",MIN($AH401,Settings!$B$3),Settings!$B$3),0,(YEAR(IF($AH401&lt;&gt;"",MIN($AH401,Settings!$B$3),Settings!$B$3))-YEAR($R401))*12+MONTH(IF($AH401&lt;&gt;"",MIN($AH401,Settings!$B$3),Settings!$B$3))-MONTH($R401)+1))</f>
        <v/>
      </c>
      <c r="AK401" s="25">
        <f>IF($R401="","",IF($R401&gt;MIN(Settings!$B$4-1,IF($AH401&lt;&gt;"",MIN($AH401,Settings!$B$3),Settings!$B$3)),0,(YEAR(MIN(Settings!$B$4-1,IF($AH401&lt;&gt;"",MIN($AH401,Settings!$B$3),Settings!$B$3)))-YEAR($R401))*12+MONTH(MIN(Settings!$B$4-1,IF($AH401&lt;&gt;"",MIN($AH401,Settings!$B$3),Settings!$B$3)))-MONTH($R401)+1))</f>
        <v/>
      </c>
      <c r="AL401" s="23">
        <f>IF(OR($S401="",$R401=""),"",ROUND(MAX(0,IF($W401="Straight-line",IF(N($V401)&lt;=0,0,($S401-N($U401))*MIN($AK401,$V401)/$V401),IF($W401="Reducing balance",MIN(($S401-N($U401)),$S401-$S401*(1-N($AG401))^INT($AK401/12)*(1-N($AG401)*MOD($AK401,12)/12)),IF($W401="DDB",IF(N($V401)&lt;=0,0,MIN(($S401-N($U401)),$S401-$S401*(1-MIN(1,24/$V401))^INT($AK401/12)*(1-MIN(1,24/$V401)*MOD($AK401,12)/12))),IF($W401="SYD",IF(N($V401)&lt;=0,0,($S401-N($U401))*(INT(MIN($AK401,$V401)/12)*(2*($V401/12)-INT(MIN($AK401,$V401)/12)+1)/2+MOD(MIN($AK401,$V401),12)/12*(($V401/12)-INT(MIN($AK401,$V401)/12)))/(($V401/12)*(($V401/12)+1)/2)),0))))),2))</f>
        <v/>
      </c>
      <c r="AM401" s="23">
        <f>IF($X401="","",$X401-$AL401)</f>
        <v/>
      </c>
      <c r="AN401" s="23">
        <f>IF(OR($AH401="",$Y401=""),"",N($AI401)-$Y401)</f>
        <v/>
      </c>
    </row>
    <row r="402">
      <c r="Q402" s="20" t="n"/>
      <c r="R402" s="20" t="n"/>
      <c r="S402" s="21" t="n"/>
      <c r="U402" s="21" t="n"/>
      <c r="V402" s="22" t="n"/>
      <c r="X402" s="23">
        <f>IF(OR($S402="",$R402=""),"",ROUND(MAX(0,IF($W402="Straight-line",IF(N($V402)&lt;=0,0,($S402-N($U402))*MIN($AJ402,$V402)/$V402),IF($W402="Reducing balance",MIN(($S402-N($U402)),$S402-$S402*(1-N($AG402))^INT($AJ402/12)*(1-N($AG402)*MOD($AJ402,12)/12)),IF($W402="DDB",IF(N($V402)&lt;=0,0,MIN(($S402-N($U402)),$S402-$S402*(1-MIN(1,24/$V402))^INT($AJ402/12)*(1-MIN(1,24/$V402)*MOD($AJ402,12)/12))),IF($W402="SYD",IF(N($V402)&lt;=0,0,($S402-N($U402))*(INT(MIN($AJ402,$V402)/12)*(2*($V402/12)-INT(MIN($AJ402,$V402)/12)+1)/2+MOD(MIN($AJ402,$V402),12)/12*(($V402/12)-INT(MIN($AJ402,$V402)/12)))/(($V402/12)*(($V402/12)+1)/2)),0))))),2))</f>
        <v/>
      </c>
      <c r="Y402" s="23">
        <f>IF($X402="","",$S402-$X402)</f>
        <v/>
      </c>
      <c r="AD402" s="20" t="n"/>
      <c r="AG402" s="24" t="n"/>
      <c r="AH402" s="20" t="n"/>
      <c r="AI402" s="21" t="n"/>
      <c r="AJ402" s="25">
        <f>IF($R402="","",IF($R402&gt;IF($AH402&lt;&gt;"",MIN($AH402,Settings!$B$3),Settings!$B$3),0,(YEAR(IF($AH402&lt;&gt;"",MIN($AH402,Settings!$B$3),Settings!$B$3))-YEAR($R402))*12+MONTH(IF($AH402&lt;&gt;"",MIN($AH402,Settings!$B$3),Settings!$B$3))-MONTH($R402)+1))</f>
        <v/>
      </c>
      <c r="AK402" s="25">
        <f>IF($R402="","",IF($R402&gt;MIN(Settings!$B$4-1,IF($AH402&lt;&gt;"",MIN($AH402,Settings!$B$3),Settings!$B$3)),0,(YEAR(MIN(Settings!$B$4-1,IF($AH402&lt;&gt;"",MIN($AH402,Settings!$B$3),Settings!$B$3)))-YEAR($R402))*12+MONTH(MIN(Settings!$B$4-1,IF($AH402&lt;&gt;"",MIN($AH402,Settings!$B$3),Settings!$B$3)))-MONTH($R402)+1))</f>
        <v/>
      </c>
      <c r="AL402" s="23">
        <f>IF(OR($S402="",$R402=""),"",ROUND(MAX(0,IF($W402="Straight-line",IF(N($V402)&lt;=0,0,($S402-N($U402))*MIN($AK402,$V402)/$V402),IF($W402="Reducing balance",MIN(($S402-N($U402)),$S402-$S402*(1-N($AG402))^INT($AK402/12)*(1-N($AG402)*MOD($AK402,12)/12)),IF($W402="DDB",IF(N($V402)&lt;=0,0,MIN(($S402-N($U402)),$S402-$S402*(1-MIN(1,24/$V402))^INT($AK402/12)*(1-MIN(1,24/$V402)*MOD($AK402,12)/12))),IF($W402="SYD",IF(N($V402)&lt;=0,0,($S402-N($U402))*(INT(MIN($AK402,$V402)/12)*(2*($V402/12)-INT(MIN($AK402,$V402)/12)+1)/2+MOD(MIN($AK402,$V402),12)/12*(($V402/12)-INT(MIN($AK402,$V402)/12)))/(($V402/12)*(($V402/12)+1)/2)),0))))),2))</f>
        <v/>
      </c>
      <c r="AM402" s="23">
        <f>IF($X402="","",$X402-$AL402)</f>
        <v/>
      </c>
      <c r="AN402" s="23">
        <f>IF(OR($AH402="",$Y402=""),"",N($AI402)-$Y402)</f>
        <v/>
      </c>
    </row>
    <row r="403">
      <c r="Q403" s="20" t="n"/>
      <c r="R403" s="20" t="n"/>
      <c r="S403" s="21" t="n"/>
      <c r="U403" s="21" t="n"/>
      <c r="V403" s="22" t="n"/>
      <c r="X403" s="23">
        <f>IF(OR($S403="",$R403=""),"",ROUND(MAX(0,IF($W403="Straight-line",IF(N($V403)&lt;=0,0,($S403-N($U403))*MIN($AJ403,$V403)/$V403),IF($W403="Reducing balance",MIN(($S403-N($U403)),$S403-$S403*(1-N($AG403))^INT($AJ403/12)*(1-N($AG403)*MOD($AJ403,12)/12)),IF($W403="DDB",IF(N($V403)&lt;=0,0,MIN(($S403-N($U403)),$S403-$S403*(1-MIN(1,24/$V403))^INT($AJ403/12)*(1-MIN(1,24/$V403)*MOD($AJ403,12)/12))),IF($W403="SYD",IF(N($V403)&lt;=0,0,($S403-N($U403))*(INT(MIN($AJ403,$V403)/12)*(2*($V403/12)-INT(MIN($AJ403,$V403)/12)+1)/2+MOD(MIN($AJ403,$V403),12)/12*(($V403/12)-INT(MIN($AJ403,$V403)/12)))/(($V403/12)*(($V403/12)+1)/2)),0))))),2))</f>
        <v/>
      </c>
      <c r="Y403" s="23">
        <f>IF($X403="","",$S403-$X403)</f>
        <v/>
      </c>
      <c r="AD403" s="20" t="n"/>
      <c r="AG403" s="24" t="n"/>
      <c r="AH403" s="20" t="n"/>
      <c r="AI403" s="21" t="n"/>
      <c r="AJ403" s="25">
        <f>IF($R403="","",IF($R403&gt;IF($AH403&lt;&gt;"",MIN($AH403,Settings!$B$3),Settings!$B$3),0,(YEAR(IF($AH403&lt;&gt;"",MIN($AH403,Settings!$B$3),Settings!$B$3))-YEAR($R403))*12+MONTH(IF($AH403&lt;&gt;"",MIN($AH403,Settings!$B$3),Settings!$B$3))-MONTH($R403)+1))</f>
        <v/>
      </c>
      <c r="AK403" s="25">
        <f>IF($R403="","",IF($R403&gt;MIN(Settings!$B$4-1,IF($AH403&lt;&gt;"",MIN($AH403,Settings!$B$3),Settings!$B$3)),0,(YEAR(MIN(Settings!$B$4-1,IF($AH403&lt;&gt;"",MIN($AH403,Settings!$B$3),Settings!$B$3)))-YEAR($R403))*12+MONTH(MIN(Settings!$B$4-1,IF($AH403&lt;&gt;"",MIN($AH403,Settings!$B$3),Settings!$B$3)))-MONTH($R403)+1))</f>
        <v/>
      </c>
      <c r="AL403" s="23">
        <f>IF(OR($S403="",$R403=""),"",ROUND(MAX(0,IF($W403="Straight-line",IF(N($V403)&lt;=0,0,($S403-N($U403))*MIN($AK403,$V403)/$V403),IF($W403="Reducing balance",MIN(($S403-N($U403)),$S403-$S403*(1-N($AG403))^INT($AK403/12)*(1-N($AG403)*MOD($AK403,12)/12)),IF($W403="DDB",IF(N($V403)&lt;=0,0,MIN(($S403-N($U403)),$S403-$S403*(1-MIN(1,24/$V403))^INT($AK403/12)*(1-MIN(1,24/$V403)*MOD($AK403,12)/12))),IF($W403="SYD",IF(N($V403)&lt;=0,0,($S403-N($U403))*(INT(MIN($AK403,$V403)/12)*(2*($V403/12)-INT(MIN($AK403,$V403)/12)+1)/2+MOD(MIN($AK403,$V403),12)/12*(($V403/12)-INT(MIN($AK403,$V403)/12)))/(($V403/12)*(($V403/12)+1)/2)),0))))),2))</f>
        <v/>
      </c>
      <c r="AM403" s="23">
        <f>IF($X403="","",$X403-$AL403)</f>
        <v/>
      </c>
      <c r="AN403" s="23">
        <f>IF(OR($AH403="",$Y403=""),"",N($AI403)-$Y403)</f>
        <v/>
      </c>
    </row>
    <row r="404">
      <c r="Q404" s="20" t="n"/>
      <c r="R404" s="20" t="n"/>
      <c r="S404" s="21" t="n"/>
      <c r="U404" s="21" t="n"/>
      <c r="V404" s="22" t="n"/>
      <c r="X404" s="23">
        <f>IF(OR($S404="",$R404=""),"",ROUND(MAX(0,IF($W404="Straight-line",IF(N($V404)&lt;=0,0,($S404-N($U404))*MIN($AJ404,$V404)/$V404),IF($W404="Reducing balance",MIN(($S404-N($U404)),$S404-$S404*(1-N($AG404))^INT($AJ404/12)*(1-N($AG404)*MOD($AJ404,12)/12)),IF($W404="DDB",IF(N($V404)&lt;=0,0,MIN(($S404-N($U404)),$S404-$S404*(1-MIN(1,24/$V404))^INT($AJ404/12)*(1-MIN(1,24/$V404)*MOD($AJ404,12)/12))),IF($W404="SYD",IF(N($V404)&lt;=0,0,($S404-N($U404))*(INT(MIN($AJ404,$V404)/12)*(2*($V404/12)-INT(MIN($AJ404,$V404)/12)+1)/2+MOD(MIN($AJ404,$V404),12)/12*(($V404/12)-INT(MIN($AJ404,$V404)/12)))/(($V404/12)*(($V404/12)+1)/2)),0))))),2))</f>
        <v/>
      </c>
      <c r="Y404" s="23">
        <f>IF($X404="","",$S404-$X404)</f>
        <v/>
      </c>
      <c r="AD404" s="20" t="n"/>
      <c r="AG404" s="24" t="n"/>
      <c r="AH404" s="20" t="n"/>
      <c r="AI404" s="21" t="n"/>
      <c r="AJ404" s="25">
        <f>IF($R404="","",IF($R404&gt;IF($AH404&lt;&gt;"",MIN($AH404,Settings!$B$3),Settings!$B$3),0,(YEAR(IF($AH404&lt;&gt;"",MIN($AH404,Settings!$B$3),Settings!$B$3))-YEAR($R404))*12+MONTH(IF($AH404&lt;&gt;"",MIN($AH404,Settings!$B$3),Settings!$B$3))-MONTH($R404)+1))</f>
        <v/>
      </c>
      <c r="AK404" s="25">
        <f>IF($R404="","",IF($R404&gt;MIN(Settings!$B$4-1,IF($AH404&lt;&gt;"",MIN($AH404,Settings!$B$3),Settings!$B$3)),0,(YEAR(MIN(Settings!$B$4-1,IF($AH404&lt;&gt;"",MIN($AH404,Settings!$B$3),Settings!$B$3)))-YEAR($R404))*12+MONTH(MIN(Settings!$B$4-1,IF($AH404&lt;&gt;"",MIN($AH404,Settings!$B$3),Settings!$B$3)))-MONTH($R404)+1))</f>
        <v/>
      </c>
      <c r="AL404" s="23">
        <f>IF(OR($S404="",$R404=""),"",ROUND(MAX(0,IF($W404="Straight-line",IF(N($V404)&lt;=0,0,($S404-N($U404))*MIN($AK404,$V404)/$V404),IF($W404="Reducing balance",MIN(($S404-N($U404)),$S404-$S404*(1-N($AG404))^INT($AK404/12)*(1-N($AG404)*MOD($AK404,12)/12)),IF($W404="DDB",IF(N($V404)&lt;=0,0,MIN(($S404-N($U404)),$S404-$S404*(1-MIN(1,24/$V404))^INT($AK404/12)*(1-MIN(1,24/$V404)*MOD($AK404,12)/12))),IF($W404="SYD",IF(N($V404)&lt;=0,0,($S404-N($U404))*(INT(MIN($AK404,$V404)/12)*(2*($V404/12)-INT(MIN($AK404,$V404)/12)+1)/2+MOD(MIN($AK404,$V404),12)/12*(($V404/12)-INT(MIN($AK404,$V404)/12)))/(($V404/12)*(($V404/12)+1)/2)),0))))),2))</f>
        <v/>
      </c>
      <c r="AM404" s="23">
        <f>IF($X404="","",$X404-$AL404)</f>
        <v/>
      </c>
      <c r="AN404" s="23">
        <f>IF(OR($AH404="",$Y404=""),"",N($AI404)-$Y404)</f>
        <v/>
      </c>
    </row>
    <row r="405">
      <c r="Q405" s="20" t="n"/>
      <c r="R405" s="20" t="n"/>
      <c r="S405" s="21" t="n"/>
      <c r="U405" s="21" t="n"/>
      <c r="V405" s="22" t="n"/>
      <c r="X405" s="23">
        <f>IF(OR($S405="",$R405=""),"",ROUND(MAX(0,IF($W405="Straight-line",IF(N($V405)&lt;=0,0,($S405-N($U405))*MIN($AJ405,$V405)/$V405),IF($W405="Reducing balance",MIN(($S405-N($U405)),$S405-$S405*(1-N($AG405))^INT($AJ405/12)*(1-N($AG405)*MOD($AJ405,12)/12)),IF($W405="DDB",IF(N($V405)&lt;=0,0,MIN(($S405-N($U405)),$S405-$S405*(1-MIN(1,24/$V405))^INT($AJ405/12)*(1-MIN(1,24/$V405)*MOD($AJ405,12)/12))),IF($W405="SYD",IF(N($V405)&lt;=0,0,($S405-N($U405))*(INT(MIN($AJ405,$V405)/12)*(2*($V405/12)-INT(MIN($AJ405,$V405)/12)+1)/2+MOD(MIN($AJ405,$V405),12)/12*(($V405/12)-INT(MIN($AJ405,$V405)/12)))/(($V405/12)*(($V405/12)+1)/2)),0))))),2))</f>
        <v/>
      </c>
      <c r="Y405" s="23">
        <f>IF($X405="","",$S405-$X405)</f>
        <v/>
      </c>
      <c r="AD405" s="20" t="n"/>
      <c r="AG405" s="24" t="n"/>
      <c r="AH405" s="20" t="n"/>
      <c r="AI405" s="21" t="n"/>
      <c r="AJ405" s="25">
        <f>IF($R405="","",IF($R405&gt;IF($AH405&lt;&gt;"",MIN($AH405,Settings!$B$3),Settings!$B$3),0,(YEAR(IF($AH405&lt;&gt;"",MIN($AH405,Settings!$B$3),Settings!$B$3))-YEAR($R405))*12+MONTH(IF($AH405&lt;&gt;"",MIN($AH405,Settings!$B$3),Settings!$B$3))-MONTH($R405)+1))</f>
        <v/>
      </c>
      <c r="AK405" s="25">
        <f>IF($R405="","",IF($R405&gt;MIN(Settings!$B$4-1,IF($AH405&lt;&gt;"",MIN($AH405,Settings!$B$3),Settings!$B$3)),0,(YEAR(MIN(Settings!$B$4-1,IF($AH405&lt;&gt;"",MIN($AH405,Settings!$B$3),Settings!$B$3)))-YEAR($R405))*12+MONTH(MIN(Settings!$B$4-1,IF($AH405&lt;&gt;"",MIN($AH405,Settings!$B$3),Settings!$B$3)))-MONTH($R405)+1))</f>
        <v/>
      </c>
      <c r="AL405" s="23">
        <f>IF(OR($S405="",$R405=""),"",ROUND(MAX(0,IF($W405="Straight-line",IF(N($V405)&lt;=0,0,($S405-N($U405))*MIN($AK405,$V405)/$V405),IF($W405="Reducing balance",MIN(($S405-N($U405)),$S405-$S405*(1-N($AG405))^INT($AK405/12)*(1-N($AG405)*MOD($AK405,12)/12)),IF($W405="DDB",IF(N($V405)&lt;=0,0,MIN(($S405-N($U405)),$S405-$S405*(1-MIN(1,24/$V405))^INT($AK405/12)*(1-MIN(1,24/$V405)*MOD($AK405,12)/12))),IF($W405="SYD",IF(N($V405)&lt;=0,0,($S405-N($U405))*(INT(MIN($AK405,$V405)/12)*(2*($V405/12)-INT(MIN($AK405,$V405)/12)+1)/2+MOD(MIN($AK405,$V405),12)/12*(($V405/12)-INT(MIN($AK405,$V405)/12)))/(($V405/12)*(($V405/12)+1)/2)),0))))),2))</f>
        <v/>
      </c>
      <c r="AM405" s="23">
        <f>IF($X405="","",$X405-$AL405)</f>
        <v/>
      </c>
      <c r="AN405" s="23">
        <f>IF(OR($AH405="",$Y405=""),"",N($AI405)-$Y405)</f>
        <v/>
      </c>
    </row>
    <row r="406">
      <c r="Q406" s="20" t="n"/>
      <c r="R406" s="20" t="n"/>
      <c r="S406" s="21" t="n"/>
      <c r="U406" s="21" t="n"/>
      <c r="V406" s="22" t="n"/>
      <c r="X406" s="23">
        <f>IF(OR($S406="",$R406=""),"",ROUND(MAX(0,IF($W406="Straight-line",IF(N($V406)&lt;=0,0,($S406-N($U406))*MIN($AJ406,$V406)/$V406),IF($W406="Reducing balance",MIN(($S406-N($U406)),$S406-$S406*(1-N($AG406))^INT($AJ406/12)*(1-N($AG406)*MOD($AJ406,12)/12)),IF($W406="DDB",IF(N($V406)&lt;=0,0,MIN(($S406-N($U406)),$S406-$S406*(1-MIN(1,24/$V406))^INT($AJ406/12)*(1-MIN(1,24/$V406)*MOD($AJ406,12)/12))),IF($W406="SYD",IF(N($V406)&lt;=0,0,($S406-N($U406))*(INT(MIN($AJ406,$V406)/12)*(2*($V406/12)-INT(MIN($AJ406,$V406)/12)+1)/2+MOD(MIN($AJ406,$V406),12)/12*(($V406/12)-INT(MIN($AJ406,$V406)/12)))/(($V406/12)*(($V406/12)+1)/2)),0))))),2))</f>
        <v/>
      </c>
      <c r="Y406" s="23">
        <f>IF($X406="","",$S406-$X406)</f>
        <v/>
      </c>
      <c r="AD406" s="20" t="n"/>
      <c r="AG406" s="24" t="n"/>
      <c r="AH406" s="20" t="n"/>
      <c r="AI406" s="21" t="n"/>
      <c r="AJ406" s="25">
        <f>IF($R406="","",IF($R406&gt;IF($AH406&lt;&gt;"",MIN($AH406,Settings!$B$3),Settings!$B$3),0,(YEAR(IF($AH406&lt;&gt;"",MIN($AH406,Settings!$B$3),Settings!$B$3))-YEAR($R406))*12+MONTH(IF($AH406&lt;&gt;"",MIN($AH406,Settings!$B$3),Settings!$B$3))-MONTH($R406)+1))</f>
        <v/>
      </c>
      <c r="AK406" s="25">
        <f>IF($R406="","",IF($R406&gt;MIN(Settings!$B$4-1,IF($AH406&lt;&gt;"",MIN($AH406,Settings!$B$3),Settings!$B$3)),0,(YEAR(MIN(Settings!$B$4-1,IF($AH406&lt;&gt;"",MIN($AH406,Settings!$B$3),Settings!$B$3)))-YEAR($R406))*12+MONTH(MIN(Settings!$B$4-1,IF($AH406&lt;&gt;"",MIN($AH406,Settings!$B$3),Settings!$B$3)))-MONTH($R406)+1))</f>
        <v/>
      </c>
      <c r="AL406" s="23">
        <f>IF(OR($S406="",$R406=""),"",ROUND(MAX(0,IF($W406="Straight-line",IF(N($V406)&lt;=0,0,($S406-N($U406))*MIN($AK406,$V406)/$V406),IF($W406="Reducing balance",MIN(($S406-N($U406)),$S406-$S406*(1-N($AG406))^INT($AK406/12)*(1-N($AG406)*MOD($AK406,12)/12)),IF($W406="DDB",IF(N($V406)&lt;=0,0,MIN(($S406-N($U406)),$S406-$S406*(1-MIN(1,24/$V406))^INT($AK406/12)*(1-MIN(1,24/$V406)*MOD($AK406,12)/12))),IF($W406="SYD",IF(N($V406)&lt;=0,0,($S406-N($U406))*(INT(MIN($AK406,$V406)/12)*(2*($V406/12)-INT(MIN($AK406,$V406)/12)+1)/2+MOD(MIN($AK406,$V406),12)/12*(($V406/12)-INT(MIN($AK406,$V406)/12)))/(($V406/12)*(($V406/12)+1)/2)),0))))),2))</f>
        <v/>
      </c>
      <c r="AM406" s="23">
        <f>IF($X406="","",$X406-$AL406)</f>
        <v/>
      </c>
      <c r="AN406" s="23">
        <f>IF(OR($AH406="",$Y406=""),"",N($AI406)-$Y406)</f>
        <v/>
      </c>
    </row>
    <row r="407">
      <c r="Q407" s="20" t="n"/>
      <c r="R407" s="20" t="n"/>
      <c r="S407" s="21" t="n"/>
      <c r="U407" s="21" t="n"/>
      <c r="V407" s="22" t="n"/>
      <c r="X407" s="23">
        <f>IF(OR($S407="",$R407=""),"",ROUND(MAX(0,IF($W407="Straight-line",IF(N($V407)&lt;=0,0,($S407-N($U407))*MIN($AJ407,$V407)/$V407),IF($W407="Reducing balance",MIN(($S407-N($U407)),$S407-$S407*(1-N($AG407))^INT($AJ407/12)*(1-N($AG407)*MOD($AJ407,12)/12)),IF($W407="DDB",IF(N($V407)&lt;=0,0,MIN(($S407-N($U407)),$S407-$S407*(1-MIN(1,24/$V407))^INT($AJ407/12)*(1-MIN(1,24/$V407)*MOD($AJ407,12)/12))),IF($W407="SYD",IF(N($V407)&lt;=0,0,($S407-N($U407))*(INT(MIN($AJ407,$V407)/12)*(2*($V407/12)-INT(MIN($AJ407,$V407)/12)+1)/2+MOD(MIN($AJ407,$V407),12)/12*(($V407/12)-INT(MIN($AJ407,$V407)/12)))/(($V407/12)*(($V407/12)+1)/2)),0))))),2))</f>
        <v/>
      </c>
      <c r="Y407" s="23">
        <f>IF($X407="","",$S407-$X407)</f>
        <v/>
      </c>
      <c r="AD407" s="20" t="n"/>
      <c r="AG407" s="24" t="n"/>
      <c r="AH407" s="20" t="n"/>
      <c r="AI407" s="21" t="n"/>
      <c r="AJ407" s="25">
        <f>IF($R407="","",IF($R407&gt;IF($AH407&lt;&gt;"",MIN($AH407,Settings!$B$3),Settings!$B$3),0,(YEAR(IF($AH407&lt;&gt;"",MIN($AH407,Settings!$B$3),Settings!$B$3))-YEAR($R407))*12+MONTH(IF($AH407&lt;&gt;"",MIN($AH407,Settings!$B$3),Settings!$B$3))-MONTH($R407)+1))</f>
        <v/>
      </c>
      <c r="AK407" s="25">
        <f>IF($R407="","",IF($R407&gt;MIN(Settings!$B$4-1,IF($AH407&lt;&gt;"",MIN($AH407,Settings!$B$3),Settings!$B$3)),0,(YEAR(MIN(Settings!$B$4-1,IF($AH407&lt;&gt;"",MIN($AH407,Settings!$B$3),Settings!$B$3)))-YEAR($R407))*12+MONTH(MIN(Settings!$B$4-1,IF($AH407&lt;&gt;"",MIN($AH407,Settings!$B$3),Settings!$B$3)))-MONTH($R407)+1))</f>
        <v/>
      </c>
      <c r="AL407" s="23">
        <f>IF(OR($S407="",$R407=""),"",ROUND(MAX(0,IF($W407="Straight-line",IF(N($V407)&lt;=0,0,($S407-N($U407))*MIN($AK407,$V407)/$V407),IF($W407="Reducing balance",MIN(($S407-N($U407)),$S407-$S407*(1-N($AG407))^INT($AK407/12)*(1-N($AG407)*MOD($AK407,12)/12)),IF($W407="DDB",IF(N($V407)&lt;=0,0,MIN(($S407-N($U407)),$S407-$S407*(1-MIN(1,24/$V407))^INT($AK407/12)*(1-MIN(1,24/$V407)*MOD($AK407,12)/12))),IF($W407="SYD",IF(N($V407)&lt;=0,0,($S407-N($U407))*(INT(MIN($AK407,$V407)/12)*(2*($V407/12)-INT(MIN($AK407,$V407)/12)+1)/2+MOD(MIN($AK407,$V407),12)/12*(($V407/12)-INT(MIN($AK407,$V407)/12)))/(($V407/12)*(($V407/12)+1)/2)),0))))),2))</f>
        <v/>
      </c>
      <c r="AM407" s="23">
        <f>IF($X407="","",$X407-$AL407)</f>
        <v/>
      </c>
      <c r="AN407" s="23">
        <f>IF(OR($AH407="",$Y407=""),"",N($AI407)-$Y407)</f>
        <v/>
      </c>
    </row>
    <row r="408">
      <c r="Q408" s="20" t="n"/>
      <c r="R408" s="20" t="n"/>
      <c r="S408" s="21" t="n"/>
      <c r="U408" s="21" t="n"/>
      <c r="V408" s="22" t="n"/>
      <c r="X408" s="23">
        <f>IF(OR($S408="",$R408=""),"",ROUND(MAX(0,IF($W408="Straight-line",IF(N($V408)&lt;=0,0,($S408-N($U408))*MIN($AJ408,$V408)/$V408),IF($W408="Reducing balance",MIN(($S408-N($U408)),$S408-$S408*(1-N($AG408))^INT($AJ408/12)*(1-N($AG408)*MOD($AJ408,12)/12)),IF($W408="DDB",IF(N($V408)&lt;=0,0,MIN(($S408-N($U408)),$S408-$S408*(1-MIN(1,24/$V408))^INT($AJ408/12)*(1-MIN(1,24/$V408)*MOD($AJ408,12)/12))),IF($W408="SYD",IF(N($V408)&lt;=0,0,($S408-N($U408))*(INT(MIN($AJ408,$V408)/12)*(2*($V408/12)-INT(MIN($AJ408,$V408)/12)+1)/2+MOD(MIN($AJ408,$V408),12)/12*(($V408/12)-INT(MIN($AJ408,$V408)/12)))/(($V408/12)*(($V408/12)+1)/2)),0))))),2))</f>
        <v/>
      </c>
      <c r="Y408" s="23">
        <f>IF($X408="","",$S408-$X408)</f>
        <v/>
      </c>
      <c r="AD408" s="20" t="n"/>
      <c r="AG408" s="24" t="n"/>
      <c r="AH408" s="20" t="n"/>
      <c r="AI408" s="21" t="n"/>
      <c r="AJ408" s="25">
        <f>IF($R408="","",IF($R408&gt;IF($AH408&lt;&gt;"",MIN($AH408,Settings!$B$3),Settings!$B$3),0,(YEAR(IF($AH408&lt;&gt;"",MIN($AH408,Settings!$B$3),Settings!$B$3))-YEAR($R408))*12+MONTH(IF($AH408&lt;&gt;"",MIN($AH408,Settings!$B$3),Settings!$B$3))-MONTH($R408)+1))</f>
        <v/>
      </c>
      <c r="AK408" s="25">
        <f>IF($R408="","",IF($R408&gt;MIN(Settings!$B$4-1,IF($AH408&lt;&gt;"",MIN($AH408,Settings!$B$3),Settings!$B$3)),0,(YEAR(MIN(Settings!$B$4-1,IF($AH408&lt;&gt;"",MIN($AH408,Settings!$B$3),Settings!$B$3)))-YEAR($R408))*12+MONTH(MIN(Settings!$B$4-1,IF($AH408&lt;&gt;"",MIN($AH408,Settings!$B$3),Settings!$B$3)))-MONTH($R408)+1))</f>
        <v/>
      </c>
      <c r="AL408" s="23">
        <f>IF(OR($S408="",$R408=""),"",ROUND(MAX(0,IF($W408="Straight-line",IF(N($V408)&lt;=0,0,($S408-N($U408))*MIN($AK408,$V408)/$V408),IF($W408="Reducing balance",MIN(($S408-N($U408)),$S408-$S408*(1-N($AG408))^INT($AK408/12)*(1-N($AG408)*MOD($AK408,12)/12)),IF($W408="DDB",IF(N($V408)&lt;=0,0,MIN(($S408-N($U408)),$S408-$S408*(1-MIN(1,24/$V408))^INT($AK408/12)*(1-MIN(1,24/$V408)*MOD($AK408,12)/12))),IF($W408="SYD",IF(N($V408)&lt;=0,0,($S408-N($U408))*(INT(MIN($AK408,$V408)/12)*(2*($V408/12)-INT(MIN($AK408,$V408)/12)+1)/2+MOD(MIN($AK408,$V408),12)/12*(($V408/12)-INT(MIN($AK408,$V408)/12)))/(($V408/12)*(($V408/12)+1)/2)),0))))),2))</f>
        <v/>
      </c>
      <c r="AM408" s="23">
        <f>IF($X408="","",$X408-$AL408)</f>
        <v/>
      </c>
      <c r="AN408" s="23">
        <f>IF(OR($AH408="",$Y408=""),"",N($AI408)-$Y408)</f>
        <v/>
      </c>
    </row>
    <row r="409">
      <c r="Q409" s="20" t="n"/>
      <c r="R409" s="20" t="n"/>
      <c r="S409" s="21" t="n"/>
      <c r="U409" s="21" t="n"/>
      <c r="V409" s="22" t="n"/>
      <c r="X409" s="23">
        <f>IF(OR($S409="",$R409=""),"",ROUND(MAX(0,IF($W409="Straight-line",IF(N($V409)&lt;=0,0,($S409-N($U409))*MIN($AJ409,$V409)/$V409),IF($W409="Reducing balance",MIN(($S409-N($U409)),$S409-$S409*(1-N($AG409))^INT($AJ409/12)*(1-N($AG409)*MOD($AJ409,12)/12)),IF($W409="DDB",IF(N($V409)&lt;=0,0,MIN(($S409-N($U409)),$S409-$S409*(1-MIN(1,24/$V409))^INT($AJ409/12)*(1-MIN(1,24/$V409)*MOD($AJ409,12)/12))),IF($W409="SYD",IF(N($V409)&lt;=0,0,($S409-N($U409))*(INT(MIN($AJ409,$V409)/12)*(2*($V409/12)-INT(MIN($AJ409,$V409)/12)+1)/2+MOD(MIN($AJ409,$V409),12)/12*(($V409/12)-INT(MIN($AJ409,$V409)/12)))/(($V409/12)*(($V409/12)+1)/2)),0))))),2))</f>
        <v/>
      </c>
      <c r="Y409" s="23">
        <f>IF($X409="","",$S409-$X409)</f>
        <v/>
      </c>
      <c r="AD409" s="20" t="n"/>
      <c r="AG409" s="24" t="n"/>
      <c r="AH409" s="20" t="n"/>
      <c r="AI409" s="21" t="n"/>
      <c r="AJ409" s="25">
        <f>IF($R409="","",IF($R409&gt;IF($AH409&lt;&gt;"",MIN($AH409,Settings!$B$3),Settings!$B$3),0,(YEAR(IF($AH409&lt;&gt;"",MIN($AH409,Settings!$B$3),Settings!$B$3))-YEAR($R409))*12+MONTH(IF($AH409&lt;&gt;"",MIN($AH409,Settings!$B$3),Settings!$B$3))-MONTH($R409)+1))</f>
        <v/>
      </c>
      <c r="AK409" s="25">
        <f>IF($R409="","",IF($R409&gt;MIN(Settings!$B$4-1,IF($AH409&lt;&gt;"",MIN($AH409,Settings!$B$3),Settings!$B$3)),0,(YEAR(MIN(Settings!$B$4-1,IF($AH409&lt;&gt;"",MIN($AH409,Settings!$B$3),Settings!$B$3)))-YEAR($R409))*12+MONTH(MIN(Settings!$B$4-1,IF($AH409&lt;&gt;"",MIN($AH409,Settings!$B$3),Settings!$B$3)))-MONTH($R409)+1))</f>
        <v/>
      </c>
      <c r="AL409" s="23">
        <f>IF(OR($S409="",$R409=""),"",ROUND(MAX(0,IF($W409="Straight-line",IF(N($V409)&lt;=0,0,($S409-N($U409))*MIN($AK409,$V409)/$V409),IF($W409="Reducing balance",MIN(($S409-N($U409)),$S409-$S409*(1-N($AG409))^INT($AK409/12)*(1-N($AG409)*MOD($AK409,12)/12)),IF($W409="DDB",IF(N($V409)&lt;=0,0,MIN(($S409-N($U409)),$S409-$S409*(1-MIN(1,24/$V409))^INT($AK409/12)*(1-MIN(1,24/$V409)*MOD($AK409,12)/12))),IF($W409="SYD",IF(N($V409)&lt;=0,0,($S409-N($U409))*(INT(MIN($AK409,$V409)/12)*(2*($V409/12)-INT(MIN($AK409,$V409)/12)+1)/2+MOD(MIN($AK409,$V409),12)/12*(($V409/12)-INT(MIN($AK409,$V409)/12)))/(($V409/12)*(($V409/12)+1)/2)),0))))),2))</f>
        <v/>
      </c>
      <c r="AM409" s="23">
        <f>IF($X409="","",$X409-$AL409)</f>
        <v/>
      </c>
      <c r="AN409" s="23">
        <f>IF(OR($AH409="",$Y409=""),"",N($AI409)-$Y409)</f>
        <v/>
      </c>
    </row>
    <row r="410">
      <c r="Q410" s="20" t="n"/>
      <c r="R410" s="20" t="n"/>
      <c r="S410" s="21" t="n"/>
      <c r="U410" s="21" t="n"/>
      <c r="V410" s="22" t="n"/>
      <c r="X410" s="23">
        <f>IF(OR($S410="",$R410=""),"",ROUND(MAX(0,IF($W410="Straight-line",IF(N($V410)&lt;=0,0,($S410-N($U410))*MIN($AJ410,$V410)/$V410),IF($W410="Reducing balance",MIN(($S410-N($U410)),$S410-$S410*(1-N($AG410))^INT($AJ410/12)*(1-N($AG410)*MOD($AJ410,12)/12)),IF($W410="DDB",IF(N($V410)&lt;=0,0,MIN(($S410-N($U410)),$S410-$S410*(1-MIN(1,24/$V410))^INT($AJ410/12)*(1-MIN(1,24/$V410)*MOD($AJ410,12)/12))),IF($W410="SYD",IF(N($V410)&lt;=0,0,($S410-N($U410))*(INT(MIN($AJ410,$V410)/12)*(2*($V410/12)-INT(MIN($AJ410,$V410)/12)+1)/2+MOD(MIN($AJ410,$V410),12)/12*(($V410/12)-INT(MIN($AJ410,$V410)/12)))/(($V410/12)*(($V410/12)+1)/2)),0))))),2))</f>
        <v/>
      </c>
      <c r="Y410" s="23">
        <f>IF($X410="","",$S410-$X410)</f>
        <v/>
      </c>
      <c r="AD410" s="20" t="n"/>
      <c r="AG410" s="24" t="n"/>
      <c r="AH410" s="20" t="n"/>
      <c r="AI410" s="21" t="n"/>
      <c r="AJ410" s="25">
        <f>IF($R410="","",IF($R410&gt;IF($AH410&lt;&gt;"",MIN($AH410,Settings!$B$3),Settings!$B$3),0,(YEAR(IF($AH410&lt;&gt;"",MIN($AH410,Settings!$B$3),Settings!$B$3))-YEAR($R410))*12+MONTH(IF($AH410&lt;&gt;"",MIN($AH410,Settings!$B$3),Settings!$B$3))-MONTH($R410)+1))</f>
        <v/>
      </c>
      <c r="AK410" s="25">
        <f>IF($R410="","",IF($R410&gt;MIN(Settings!$B$4-1,IF($AH410&lt;&gt;"",MIN($AH410,Settings!$B$3),Settings!$B$3)),0,(YEAR(MIN(Settings!$B$4-1,IF($AH410&lt;&gt;"",MIN($AH410,Settings!$B$3),Settings!$B$3)))-YEAR($R410))*12+MONTH(MIN(Settings!$B$4-1,IF($AH410&lt;&gt;"",MIN($AH410,Settings!$B$3),Settings!$B$3)))-MONTH($R410)+1))</f>
        <v/>
      </c>
      <c r="AL410" s="23">
        <f>IF(OR($S410="",$R410=""),"",ROUND(MAX(0,IF($W410="Straight-line",IF(N($V410)&lt;=0,0,($S410-N($U410))*MIN($AK410,$V410)/$V410),IF($W410="Reducing balance",MIN(($S410-N($U410)),$S410-$S410*(1-N($AG410))^INT($AK410/12)*(1-N($AG410)*MOD($AK410,12)/12)),IF($W410="DDB",IF(N($V410)&lt;=0,0,MIN(($S410-N($U410)),$S410-$S410*(1-MIN(1,24/$V410))^INT($AK410/12)*(1-MIN(1,24/$V410)*MOD($AK410,12)/12))),IF($W410="SYD",IF(N($V410)&lt;=0,0,($S410-N($U410))*(INT(MIN($AK410,$V410)/12)*(2*($V410/12)-INT(MIN($AK410,$V410)/12)+1)/2+MOD(MIN($AK410,$V410),12)/12*(($V410/12)-INT(MIN($AK410,$V410)/12)))/(($V410/12)*(($V410/12)+1)/2)),0))))),2))</f>
        <v/>
      </c>
      <c r="AM410" s="23">
        <f>IF($X410="","",$X410-$AL410)</f>
        <v/>
      </c>
      <c r="AN410" s="23">
        <f>IF(OR($AH410="",$Y410=""),"",N($AI410)-$Y410)</f>
        <v/>
      </c>
    </row>
    <row r="411">
      <c r="Q411" s="20" t="n"/>
      <c r="R411" s="20" t="n"/>
      <c r="S411" s="21" t="n"/>
      <c r="U411" s="21" t="n"/>
      <c r="V411" s="22" t="n"/>
      <c r="X411" s="23">
        <f>IF(OR($S411="",$R411=""),"",ROUND(MAX(0,IF($W411="Straight-line",IF(N($V411)&lt;=0,0,($S411-N($U411))*MIN($AJ411,$V411)/$V411),IF($W411="Reducing balance",MIN(($S411-N($U411)),$S411-$S411*(1-N($AG411))^INT($AJ411/12)*(1-N($AG411)*MOD($AJ411,12)/12)),IF($W411="DDB",IF(N($V411)&lt;=0,0,MIN(($S411-N($U411)),$S411-$S411*(1-MIN(1,24/$V411))^INT($AJ411/12)*(1-MIN(1,24/$V411)*MOD($AJ411,12)/12))),IF($W411="SYD",IF(N($V411)&lt;=0,0,($S411-N($U411))*(INT(MIN($AJ411,$V411)/12)*(2*($V411/12)-INT(MIN($AJ411,$V411)/12)+1)/2+MOD(MIN($AJ411,$V411),12)/12*(($V411/12)-INT(MIN($AJ411,$V411)/12)))/(($V411/12)*(($V411/12)+1)/2)),0))))),2))</f>
        <v/>
      </c>
      <c r="Y411" s="23">
        <f>IF($X411="","",$S411-$X411)</f>
        <v/>
      </c>
      <c r="AD411" s="20" t="n"/>
      <c r="AG411" s="24" t="n"/>
      <c r="AH411" s="20" t="n"/>
      <c r="AI411" s="21" t="n"/>
      <c r="AJ411" s="25">
        <f>IF($R411="","",IF($R411&gt;IF($AH411&lt;&gt;"",MIN($AH411,Settings!$B$3),Settings!$B$3),0,(YEAR(IF($AH411&lt;&gt;"",MIN($AH411,Settings!$B$3),Settings!$B$3))-YEAR($R411))*12+MONTH(IF($AH411&lt;&gt;"",MIN($AH411,Settings!$B$3),Settings!$B$3))-MONTH($R411)+1))</f>
        <v/>
      </c>
      <c r="AK411" s="25">
        <f>IF($R411="","",IF($R411&gt;MIN(Settings!$B$4-1,IF($AH411&lt;&gt;"",MIN($AH411,Settings!$B$3),Settings!$B$3)),0,(YEAR(MIN(Settings!$B$4-1,IF($AH411&lt;&gt;"",MIN($AH411,Settings!$B$3),Settings!$B$3)))-YEAR($R411))*12+MONTH(MIN(Settings!$B$4-1,IF($AH411&lt;&gt;"",MIN($AH411,Settings!$B$3),Settings!$B$3)))-MONTH($R411)+1))</f>
        <v/>
      </c>
      <c r="AL411" s="23">
        <f>IF(OR($S411="",$R411=""),"",ROUND(MAX(0,IF($W411="Straight-line",IF(N($V411)&lt;=0,0,($S411-N($U411))*MIN($AK411,$V411)/$V411),IF($W411="Reducing balance",MIN(($S411-N($U411)),$S411-$S411*(1-N($AG411))^INT($AK411/12)*(1-N($AG411)*MOD($AK411,12)/12)),IF($W411="DDB",IF(N($V411)&lt;=0,0,MIN(($S411-N($U411)),$S411-$S411*(1-MIN(1,24/$V411))^INT($AK411/12)*(1-MIN(1,24/$V411)*MOD($AK411,12)/12))),IF($W411="SYD",IF(N($V411)&lt;=0,0,($S411-N($U411))*(INT(MIN($AK411,$V411)/12)*(2*($V411/12)-INT(MIN($AK411,$V411)/12)+1)/2+MOD(MIN($AK411,$V411),12)/12*(($V411/12)-INT(MIN($AK411,$V411)/12)))/(($V411/12)*(($V411/12)+1)/2)),0))))),2))</f>
        <v/>
      </c>
      <c r="AM411" s="23">
        <f>IF($X411="","",$X411-$AL411)</f>
        <v/>
      </c>
      <c r="AN411" s="23">
        <f>IF(OR($AH411="",$Y411=""),"",N($AI411)-$Y411)</f>
        <v/>
      </c>
    </row>
    <row r="412">
      <c r="Q412" s="20" t="n"/>
      <c r="R412" s="20" t="n"/>
      <c r="S412" s="21" t="n"/>
      <c r="U412" s="21" t="n"/>
      <c r="V412" s="22" t="n"/>
      <c r="X412" s="23">
        <f>IF(OR($S412="",$R412=""),"",ROUND(MAX(0,IF($W412="Straight-line",IF(N($V412)&lt;=0,0,($S412-N($U412))*MIN($AJ412,$V412)/$V412),IF($W412="Reducing balance",MIN(($S412-N($U412)),$S412-$S412*(1-N($AG412))^INT($AJ412/12)*(1-N($AG412)*MOD($AJ412,12)/12)),IF($W412="DDB",IF(N($V412)&lt;=0,0,MIN(($S412-N($U412)),$S412-$S412*(1-MIN(1,24/$V412))^INT($AJ412/12)*(1-MIN(1,24/$V412)*MOD($AJ412,12)/12))),IF($W412="SYD",IF(N($V412)&lt;=0,0,($S412-N($U412))*(INT(MIN($AJ412,$V412)/12)*(2*($V412/12)-INT(MIN($AJ412,$V412)/12)+1)/2+MOD(MIN($AJ412,$V412),12)/12*(($V412/12)-INT(MIN($AJ412,$V412)/12)))/(($V412/12)*(($V412/12)+1)/2)),0))))),2))</f>
        <v/>
      </c>
      <c r="Y412" s="23">
        <f>IF($X412="","",$S412-$X412)</f>
        <v/>
      </c>
      <c r="AD412" s="20" t="n"/>
      <c r="AG412" s="24" t="n"/>
      <c r="AH412" s="20" t="n"/>
      <c r="AI412" s="21" t="n"/>
      <c r="AJ412" s="25">
        <f>IF($R412="","",IF($R412&gt;IF($AH412&lt;&gt;"",MIN($AH412,Settings!$B$3),Settings!$B$3),0,(YEAR(IF($AH412&lt;&gt;"",MIN($AH412,Settings!$B$3),Settings!$B$3))-YEAR($R412))*12+MONTH(IF($AH412&lt;&gt;"",MIN($AH412,Settings!$B$3),Settings!$B$3))-MONTH($R412)+1))</f>
        <v/>
      </c>
      <c r="AK412" s="25">
        <f>IF($R412="","",IF($R412&gt;MIN(Settings!$B$4-1,IF($AH412&lt;&gt;"",MIN($AH412,Settings!$B$3),Settings!$B$3)),0,(YEAR(MIN(Settings!$B$4-1,IF($AH412&lt;&gt;"",MIN($AH412,Settings!$B$3),Settings!$B$3)))-YEAR($R412))*12+MONTH(MIN(Settings!$B$4-1,IF($AH412&lt;&gt;"",MIN($AH412,Settings!$B$3),Settings!$B$3)))-MONTH($R412)+1))</f>
        <v/>
      </c>
      <c r="AL412" s="23">
        <f>IF(OR($S412="",$R412=""),"",ROUND(MAX(0,IF($W412="Straight-line",IF(N($V412)&lt;=0,0,($S412-N($U412))*MIN($AK412,$V412)/$V412),IF($W412="Reducing balance",MIN(($S412-N($U412)),$S412-$S412*(1-N($AG412))^INT($AK412/12)*(1-N($AG412)*MOD($AK412,12)/12)),IF($W412="DDB",IF(N($V412)&lt;=0,0,MIN(($S412-N($U412)),$S412-$S412*(1-MIN(1,24/$V412))^INT($AK412/12)*(1-MIN(1,24/$V412)*MOD($AK412,12)/12))),IF($W412="SYD",IF(N($V412)&lt;=0,0,($S412-N($U412))*(INT(MIN($AK412,$V412)/12)*(2*($V412/12)-INT(MIN($AK412,$V412)/12)+1)/2+MOD(MIN($AK412,$V412),12)/12*(($V412/12)-INT(MIN($AK412,$V412)/12)))/(($V412/12)*(($V412/12)+1)/2)),0))))),2))</f>
        <v/>
      </c>
      <c r="AM412" s="23">
        <f>IF($X412="","",$X412-$AL412)</f>
        <v/>
      </c>
      <c r="AN412" s="23">
        <f>IF(OR($AH412="",$Y412=""),"",N($AI412)-$Y412)</f>
        <v/>
      </c>
    </row>
    <row r="413">
      <c r="Q413" s="20" t="n"/>
      <c r="R413" s="20" t="n"/>
      <c r="S413" s="21" t="n"/>
      <c r="U413" s="21" t="n"/>
      <c r="V413" s="22" t="n"/>
      <c r="X413" s="23">
        <f>IF(OR($S413="",$R413=""),"",ROUND(MAX(0,IF($W413="Straight-line",IF(N($V413)&lt;=0,0,($S413-N($U413))*MIN($AJ413,$V413)/$V413),IF($W413="Reducing balance",MIN(($S413-N($U413)),$S413-$S413*(1-N($AG413))^INT($AJ413/12)*(1-N($AG413)*MOD($AJ413,12)/12)),IF($W413="DDB",IF(N($V413)&lt;=0,0,MIN(($S413-N($U413)),$S413-$S413*(1-MIN(1,24/$V413))^INT($AJ413/12)*(1-MIN(1,24/$V413)*MOD($AJ413,12)/12))),IF($W413="SYD",IF(N($V413)&lt;=0,0,($S413-N($U413))*(INT(MIN($AJ413,$V413)/12)*(2*($V413/12)-INT(MIN($AJ413,$V413)/12)+1)/2+MOD(MIN($AJ413,$V413),12)/12*(($V413/12)-INT(MIN($AJ413,$V413)/12)))/(($V413/12)*(($V413/12)+1)/2)),0))))),2))</f>
        <v/>
      </c>
      <c r="Y413" s="23">
        <f>IF($X413="","",$S413-$X413)</f>
        <v/>
      </c>
      <c r="AD413" s="20" t="n"/>
      <c r="AG413" s="24" t="n"/>
      <c r="AH413" s="20" t="n"/>
      <c r="AI413" s="21" t="n"/>
      <c r="AJ413" s="25">
        <f>IF($R413="","",IF($R413&gt;IF($AH413&lt;&gt;"",MIN($AH413,Settings!$B$3),Settings!$B$3),0,(YEAR(IF($AH413&lt;&gt;"",MIN($AH413,Settings!$B$3),Settings!$B$3))-YEAR($R413))*12+MONTH(IF($AH413&lt;&gt;"",MIN($AH413,Settings!$B$3),Settings!$B$3))-MONTH($R413)+1))</f>
        <v/>
      </c>
      <c r="AK413" s="25">
        <f>IF($R413="","",IF($R413&gt;MIN(Settings!$B$4-1,IF($AH413&lt;&gt;"",MIN($AH413,Settings!$B$3),Settings!$B$3)),0,(YEAR(MIN(Settings!$B$4-1,IF($AH413&lt;&gt;"",MIN($AH413,Settings!$B$3),Settings!$B$3)))-YEAR($R413))*12+MONTH(MIN(Settings!$B$4-1,IF($AH413&lt;&gt;"",MIN($AH413,Settings!$B$3),Settings!$B$3)))-MONTH($R413)+1))</f>
        <v/>
      </c>
      <c r="AL413" s="23">
        <f>IF(OR($S413="",$R413=""),"",ROUND(MAX(0,IF($W413="Straight-line",IF(N($V413)&lt;=0,0,($S413-N($U413))*MIN($AK413,$V413)/$V413),IF($W413="Reducing balance",MIN(($S413-N($U413)),$S413-$S413*(1-N($AG413))^INT($AK413/12)*(1-N($AG413)*MOD($AK413,12)/12)),IF($W413="DDB",IF(N($V413)&lt;=0,0,MIN(($S413-N($U413)),$S413-$S413*(1-MIN(1,24/$V413))^INT($AK413/12)*(1-MIN(1,24/$V413)*MOD($AK413,12)/12))),IF($W413="SYD",IF(N($V413)&lt;=0,0,($S413-N($U413))*(INT(MIN($AK413,$V413)/12)*(2*($V413/12)-INT(MIN($AK413,$V413)/12)+1)/2+MOD(MIN($AK413,$V413),12)/12*(($V413/12)-INT(MIN($AK413,$V413)/12)))/(($V413/12)*(($V413/12)+1)/2)),0))))),2))</f>
        <v/>
      </c>
      <c r="AM413" s="23">
        <f>IF($X413="","",$X413-$AL413)</f>
        <v/>
      </c>
      <c r="AN413" s="23">
        <f>IF(OR($AH413="",$Y413=""),"",N($AI413)-$Y413)</f>
        <v/>
      </c>
    </row>
    <row r="414">
      <c r="Q414" s="20" t="n"/>
      <c r="R414" s="20" t="n"/>
      <c r="S414" s="21" t="n"/>
      <c r="U414" s="21" t="n"/>
      <c r="V414" s="22" t="n"/>
      <c r="X414" s="23">
        <f>IF(OR($S414="",$R414=""),"",ROUND(MAX(0,IF($W414="Straight-line",IF(N($V414)&lt;=0,0,($S414-N($U414))*MIN($AJ414,$V414)/$V414),IF($W414="Reducing balance",MIN(($S414-N($U414)),$S414-$S414*(1-N($AG414))^INT($AJ414/12)*(1-N($AG414)*MOD($AJ414,12)/12)),IF($W414="DDB",IF(N($V414)&lt;=0,0,MIN(($S414-N($U414)),$S414-$S414*(1-MIN(1,24/$V414))^INT($AJ414/12)*(1-MIN(1,24/$V414)*MOD($AJ414,12)/12))),IF($W414="SYD",IF(N($V414)&lt;=0,0,($S414-N($U414))*(INT(MIN($AJ414,$V414)/12)*(2*($V414/12)-INT(MIN($AJ414,$V414)/12)+1)/2+MOD(MIN($AJ414,$V414),12)/12*(($V414/12)-INT(MIN($AJ414,$V414)/12)))/(($V414/12)*(($V414/12)+1)/2)),0))))),2))</f>
        <v/>
      </c>
      <c r="Y414" s="23">
        <f>IF($X414="","",$S414-$X414)</f>
        <v/>
      </c>
      <c r="AD414" s="20" t="n"/>
      <c r="AG414" s="24" t="n"/>
      <c r="AH414" s="20" t="n"/>
      <c r="AI414" s="21" t="n"/>
      <c r="AJ414" s="25">
        <f>IF($R414="","",IF($R414&gt;IF($AH414&lt;&gt;"",MIN($AH414,Settings!$B$3),Settings!$B$3),0,(YEAR(IF($AH414&lt;&gt;"",MIN($AH414,Settings!$B$3),Settings!$B$3))-YEAR($R414))*12+MONTH(IF($AH414&lt;&gt;"",MIN($AH414,Settings!$B$3),Settings!$B$3))-MONTH($R414)+1))</f>
        <v/>
      </c>
      <c r="AK414" s="25">
        <f>IF($R414="","",IF($R414&gt;MIN(Settings!$B$4-1,IF($AH414&lt;&gt;"",MIN($AH414,Settings!$B$3),Settings!$B$3)),0,(YEAR(MIN(Settings!$B$4-1,IF($AH414&lt;&gt;"",MIN($AH414,Settings!$B$3),Settings!$B$3)))-YEAR($R414))*12+MONTH(MIN(Settings!$B$4-1,IF($AH414&lt;&gt;"",MIN($AH414,Settings!$B$3),Settings!$B$3)))-MONTH($R414)+1))</f>
        <v/>
      </c>
      <c r="AL414" s="23">
        <f>IF(OR($S414="",$R414=""),"",ROUND(MAX(0,IF($W414="Straight-line",IF(N($V414)&lt;=0,0,($S414-N($U414))*MIN($AK414,$V414)/$V414),IF($W414="Reducing balance",MIN(($S414-N($U414)),$S414-$S414*(1-N($AG414))^INT($AK414/12)*(1-N($AG414)*MOD($AK414,12)/12)),IF($W414="DDB",IF(N($V414)&lt;=0,0,MIN(($S414-N($U414)),$S414-$S414*(1-MIN(1,24/$V414))^INT($AK414/12)*(1-MIN(1,24/$V414)*MOD($AK414,12)/12))),IF($W414="SYD",IF(N($V414)&lt;=0,0,($S414-N($U414))*(INT(MIN($AK414,$V414)/12)*(2*($V414/12)-INT(MIN($AK414,$V414)/12)+1)/2+MOD(MIN($AK414,$V414),12)/12*(($V414/12)-INT(MIN($AK414,$V414)/12)))/(($V414/12)*(($V414/12)+1)/2)),0))))),2))</f>
        <v/>
      </c>
      <c r="AM414" s="23">
        <f>IF($X414="","",$X414-$AL414)</f>
        <v/>
      </c>
      <c r="AN414" s="23">
        <f>IF(OR($AH414="",$Y414=""),"",N($AI414)-$Y414)</f>
        <v/>
      </c>
    </row>
    <row r="415">
      <c r="Q415" s="20" t="n"/>
      <c r="R415" s="20" t="n"/>
      <c r="S415" s="21" t="n"/>
      <c r="U415" s="21" t="n"/>
      <c r="V415" s="22" t="n"/>
      <c r="X415" s="23">
        <f>IF(OR($S415="",$R415=""),"",ROUND(MAX(0,IF($W415="Straight-line",IF(N($V415)&lt;=0,0,($S415-N($U415))*MIN($AJ415,$V415)/$V415),IF($W415="Reducing balance",MIN(($S415-N($U415)),$S415-$S415*(1-N($AG415))^INT($AJ415/12)*(1-N($AG415)*MOD($AJ415,12)/12)),IF($W415="DDB",IF(N($V415)&lt;=0,0,MIN(($S415-N($U415)),$S415-$S415*(1-MIN(1,24/$V415))^INT($AJ415/12)*(1-MIN(1,24/$V415)*MOD($AJ415,12)/12))),IF($W415="SYD",IF(N($V415)&lt;=0,0,($S415-N($U415))*(INT(MIN($AJ415,$V415)/12)*(2*($V415/12)-INT(MIN($AJ415,$V415)/12)+1)/2+MOD(MIN($AJ415,$V415),12)/12*(($V415/12)-INT(MIN($AJ415,$V415)/12)))/(($V415/12)*(($V415/12)+1)/2)),0))))),2))</f>
        <v/>
      </c>
      <c r="Y415" s="23">
        <f>IF($X415="","",$S415-$X415)</f>
        <v/>
      </c>
      <c r="AD415" s="20" t="n"/>
      <c r="AG415" s="24" t="n"/>
      <c r="AH415" s="20" t="n"/>
      <c r="AI415" s="21" t="n"/>
      <c r="AJ415" s="25">
        <f>IF($R415="","",IF($R415&gt;IF($AH415&lt;&gt;"",MIN($AH415,Settings!$B$3),Settings!$B$3),0,(YEAR(IF($AH415&lt;&gt;"",MIN($AH415,Settings!$B$3),Settings!$B$3))-YEAR($R415))*12+MONTH(IF($AH415&lt;&gt;"",MIN($AH415,Settings!$B$3),Settings!$B$3))-MONTH($R415)+1))</f>
        <v/>
      </c>
      <c r="AK415" s="25">
        <f>IF($R415="","",IF($R415&gt;MIN(Settings!$B$4-1,IF($AH415&lt;&gt;"",MIN($AH415,Settings!$B$3),Settings!$B$3)),0,(YEAR(MIN(Settings!$B$4-1,IF($AH415&lt;&gt;"",MIN($AH415,Settings!$B$3),Settings!$B$3)))-YEAR($R415))*12+MONTH(MIN(Settings!$B$4-1,IF($AH415&lt;&gt;"",MIN($AH415,Settings!$B$3),Settings!$B$3)))-MONTH($R415)+1))</f>
        <v/>
      </c>
      <c r="AL415" s="23">
        <f>IF(OR($S415="",$R415=""),"",ROUND(MAX(0,IF($W415="Straight-line",IF(N($V415)&lt;=0,0,($S415-N($U415))*MIN($AK415,$V415)/$V415),IF($W415="Reducing balance",MIN(($S415-N($U415)),$S415-$S415*(1-N($AG415))^INT($AK415/12)*(1-N($AG415)*MOD($AK415,12)/12)),IF($W415="DDB",IF(N($V415)&lt;=0,0,MIN(($S415-N($U415)),$S415-$S415*(1-MIN(1,24/$V415))^INT($AK415/12)*(1-MIN(1,24/$V415)*MOD($AK415,12)/12))),IF($W415="SYD",IF(N($V415)&lt;=0,0,($S415-N($U415))*(INT(MIN($AK415,$V415)/12)*(2*($V415/12)-INT(MIN($AK415,$V415)/12)+1)/2+MOD(MIN($AK415,$V415),12)/12*(($V415/12)-INT(MIN($AK415,$V415)/12)))/(($V415/12)*(($V415/12)+1)/2)),0))))),2))</f>
        <v/>
      </c>
      <c r="AM415" s="23">
        <f>IF($X415="","",$X415-$AL415)</f>
        <v/>
      </c>
      <c r="AN415" s="23">
        <f>IF(OR($AH415="",$Y415=""),"",N($AI415)-$Y415)</f>
        <v/>
      </c>
    </row>
    <row r="416">
      <c r="Q416" s="20" t="n"/>
      <c r="R416" s="20" t="n"/>
      <c r="S416" s="21" t="n"/>
      <c r="U416" s="21" t="n"/>
      <c r="V416" s="22" t="n"/>
      <c r="X416" s="23">
        <f>IF(OR($S416="",$R416=""),"",ROUND(MAX(0,IF($W416="Straight-line",IF(N($V416)&lt;=0,0,($S416-N($U416))*MIN($AJ416,$V416)/$V416),IF($W416="Reducing balance",MIN(($S416-N($U416)),$S416-$S416*(1-N($AG416))^INT($AJ416/12)*(1-N($AG416)*MOD($AJ416,12)/12)),IF($W416="DDB",IF(N($V416)&lt;=0,0,MIN(($S416-N($U416)),$S416-$S416*(1-MIN(1,24/$V416))^INT($AJ416/12)*(1-MIN(1,24/$V416)*MOD($AJ416,12)/12))),IF($W416="SYD",IF(N($V416)&lt;=0,0,($S416-N($U416))*(INT(MIN($AJ416,$V416)/12)*(2*($V416/12)-INT(MIN($AJ416,$V416)/12)+1)/2+MOD(MIN($AJ416,$V416),12)/12*(($V416/12)-INT(MIN($AJ416,$V416)/12)))/(($V416/12)*(($V416/12)+1)/2)),0))))),2))</f>
        <v/>
      </c>
      <c r="Y416" s="23">
        <f>IF($X416="","",$S416-$X416)</f>
        <v/>
      </c>
      <c r="AD416" s="20" t="n"/>
      <c r="AG416" s="24" t="n"/>
      <c r="AH416" s="20" t="n"/>
      <c r="AI416" s="21" t="n"/>
      <c r="AJ416" s="25">
        <f>IF($R416="","",IF($R416&gt;IF($AH416&lt;&gt;"",MIN($AH416,Settings!$B$3),Settings!$B$3),0,(YEAR(IF($AH416&lt;&gt;"",MIN($AH416,Settings!$B$3),Settings!$B$3))-YEAR($R416))*12+MONTH(IF($AH416&lt;&gt;"",MIN($AH416,Settings!$B$3),Settings!$B$3))-MONTH($R416)+1))</f>
        <v/>
      </c>
      <c r="AK416" s="25">
        <f>IF($R416="","",IF($R416&gt;MIN(Settings!$B$4-1,IF($AH416&lt;&gt;"",MIN($AH416,Settings!$B$3),Settings!$B$3)),0,(YEAR(MIN(Settings!$B$4-1,IF($AH416&lt;&gt;"",MIN($AH416,Settings!$B$3),Settings!$B$3)))-YEAR($R416))*12+MONTH(MIN(Settings!$B$4-1,IF($AH416&lt;&gt;"",MIN($AH416,Settings!$B$3),Settings!$B$3)))-MONTH($R416)+1))</f>
        <v/>
      </c>
      <c r="AL416" s="23">
        <f>IF(OR($S416="",$R416=""),"",ROUND(MAX(0,IF($W416="Straight-line",IF(N($V416)&lt;=0,0,($S416-N($U416))*MIN($AK416,$V416)/$V416),IF($W416="Reducing balance",MIN(($S416-N($U416)),$S416-$S416*(1-N($AG416))^INT($AK416/12)*(1-N($AG416)*MOD($AK416,12)/12)),IF($W416="DDB",IF(N($V416)&lt;=0,0,MIN(($S416-N($U416)),$S416-$S416*(1-MIN(1,24/$V416))^INT($AK416/12)*(1-MIN(1,24/$V416)*MOD($AK416,12)/12))),IF($W416="SYD",IF(N($V416)&lt;=0,0,($S416-N($U416))*(INT(MIN($AK416,$V416)/12)*(2*($V416/12)-INT(MIN($AK416,$V416)/12)+1)/2+MOD(MIN($AK416,$V416),12)/12*(($V416/12)-INT(MIN($AK416,$V416)/12)))/(($V416/12)*(($V416/12)+1)/2)),0))))),2))</f>
        <v/>
      </c>
      <c r="AM416" s="23">
        <f>IF($X416="","",$X416-$AL416)</f>
        <v/>
      </c>
      <c r="AN416" s="23">
        <f>IF(OR($AH416="",$Y416=""),"",N($AI416)-$Y416)</f>
        <v/>
      </c>
    </row>
    <row r="417">
      <c r="Q417" s="20" t="n"/>
      <c r="R417" s="20" t="n"/>
      <c r="S417" s="21" t="n"/>
      <c r="U417" s="21" t="n"/>
      <c r="V417" s="22" t="n"/>
      <c r="X417" s="23">
        <f>IF(OR($S417="",$R417=""),"",ROUND(MAX(0,IF($W417="Straight-line",IF(N($V417)&lt;=0,0,($S417-N($U417))*MIN($AJ417,$V417)/$V417),IF($W417="Reducing balance",MIN(($S417-N($U417)),$S417-$S417*(1-N($AG417))^INT($AJ417/12)*(1-N($AG417)*MOD($AJ417,12)/12)),IF($W417="DDB",IF(N($V417)&lt;=0,0,MIN(($S417-N($U417)),$S417-$S417*(1-MIN(1,24/$V417))^INT($AJ417/12)*(1-MIN(1,24/$V417)*MOD($AJ417,12)/12))),IF($W417="SYD",IF(N($V417)&lt;=0,0,($S417-N($U417))*(INT(MIN($AJ417,$V417)/12)*(2*($V417/12)-INT(MIN($AJ417,$V417)/12)+1)/2+MOD(MIN($AJ417,$V417),12)/12*(($V417/12)-INT(MIN($AJ417,$V417)/12)))/(($V417/12)*(($V417/12)+1)/2)),0))))),2))</f>
        <v/>
      </c>
      <c r="Y417" s="23">
        <f>IF($X417="","",$S417-$X417)</f>
        <v/>
      </c>
      <c r="AD417" s="20" t="n"/>
      <c r="AG417" s="24" t="n"/>
      <c r="AH417" s="20" t="n"/>
      <c r="AI417" s="21" t="n"/>
      <c r="AJ417" s="25">
        <f>IF($R417="","",IF($R417&gt;IF($AH417&lt;&gt;"",MIN($AH417,Settings!$B$3),Settings!$B$3),0,(YEAR(IF($AH417&lt;&gt;"",MIN($AH417,Settings!$B$3),Settings!$B$3))-YEAR($R417))*12+MONTH(IF($AH417&lt;&gt;"",MIN($AH417,Settings!$B$3),Settings!$B$3))-MONTH($R417)+1))</f>
        <v/>
      </c>
      <c r="AK417" s="25">
        <f>IF($R417="","",IF($R417&gt;MIN(Settings!$B$4-1,IF($AH417&lt;&gt;"",MIN($AH417,Settings!$B$3),Settings!$B$3)),0,(YEAR(MIN(Settings!$B$4-1,IF($AH417&lt;&gt;"",MIN($AH417,Settings!$B$3),Settings!$B$3)))-YEAR($R417))*12+MONTH(MIN(Settings!$B$4-1,IF($AH417&lt;&gt;"",MIN($AH417,Settings!$B$3),Settings!$B$3)))-MONTH($R417)+1))</f>
        <v/>
      </c>
      <c r="AL417" s="23">
        <f>IF(OR($S417="",$R417=""),"",ROUND(MAX(0,IF($W417="Straight-line",IF(N($V417)&lt;=0,0,($S417-N($U417))*MIN($AK417,$V417)/$V417),IF($W417="Reducing balance",MIN(($S417-N($U417)),$S417-$S417*(1-N($AG417))^INT($AK417/12)*(1-N($AG417)*MOD($AK417,12)/12)),IF($W417="DDB",IF(N($V417)&lt;=0,0,MIN(($S417-N($U417)),$S417-$S417*(1-MIN(1,24/$V417))^INT($AK417/12)*(1-MIN(1,24/$V417)*MOD($AK417,12)/12))),IF($W417="SYD",IF(N($V417)&lt;=0,0,($S417-N($U417))*(INT(MIN($AK417,$V417)/12)*(2*($V417/12)-INT(MIN($AK417,$V417)/12)+1)/2+MOD(MIN($AK417,$V417),12)/12*(($V417/12)-INT(MIN($AK417,$V417)/12)))/(($V417/12)*(($V417/12)+1)/2)),0))))),2))</f>
        <v/>
      </c>
      <c r="AM417" s="23">
        <f>IF($X417="","",$X417-$AL417)</f>
        <v/>
      </c>
      <c r="AN417" s="23">
        <f>IF(OR($AH417="",$Y417=""),"",N($AI417)-$Y417)</f>
        <v/>
      </c>
    </row>
    <row r="418">
      <c r="Q418" s="20" t="n"/>
      <c r="R418" s="20" t="n"/>
      <c r="S418" s="21" t="n"/>
      <c r="U418" s="21" t="n"/>
      <c r="V418" s="22" t="n"/>
      <c r="X418" s="23">
        <f>IF(OR($S418="",$R418=""),"",ROUND(MAX(0,IF($W418="Straight-line",IF(N($V418)&lt;=0,0,($S418-N($U418))*MIN($AJ418,$V418)/$V418),IF($W418="Reducing balance",MIN(($S418-N($U418)),$S418-$S418*(1-N($AG418))^INT($AJ418/12)*(1-N($AG418)*MOD($AJ418,12)/12)),IF($W418="DDB",IF(N($V418)&lt;=0,0,MIN(($S418-N($U418)),$S418-$S418*(1-MIN(1,24/$V418))^INT($AJ418/12)*(1-MIN(1,24/$V418)*MOD($AJ418,12)/12))),IF($W418="SYD",IF(N($V418)&lt;=0,0,($S418-N($U418))*(INT(MIN($AJ418,$V418)/12)*(2*($V418/12)-INT(MIN($AJ418,$V418)/12)+1)/2+MOD(MIN($AJ418,$V418),12)/12*(($V418/12)-INT(MIN($AJ418,$V418)/12)))/(($V418/12)*(($V418/12)+1)/2)),0))))),2))</f>
        <v/>
      </c>
      <c r="Y418" s="23">
        <f>IF($X418="","",$S418-$X418)</f>
        <v/>
      </c>
      <c r="AD418" s="20" t="n"/>
      <c r="AG418" s="24" t="n"/>
      <c r="AH418" s="20" t="n"/>
      <c r="AI418" s="21" t="n"/>
      <c r="AJ418" s="25">
        <f>IF($R418="","",IF($R418&gt;IF($AH418&lt;&gt;"",MIN($AH418,Settings!$B$3),Settings!$B$3),0,(YEAR(IF($AH418&lt;&gt;"",MIN($AH418,Settings!$B$3),Settings!$B$3))-YEAR($R418))*12+MONTH(IF($AH418&lt;&gt;"",MIN($AH418,Settings!$B$3),Settings!$B$3))-MONTH($R418)+1))</f>
        <v/>
      </c>
      <c r="AK418" s="25">
        <f>IF($R418="","",IF($R418&gt;MIN(Settings!$B$4-1,IF($AH418&lt;&gt;"",MIN($AH418,Settings!$B$3),Settings!$B$3)),0,(YEAR(MIN(Settings!$B$4-1,IF($AH418&lt;&gt;"",MIN($AH418,Settings!$B$3),Settings!$B$3)))-YEAR($R418))*12+MONTH(MIN(Settings!$B$4-1,IF($AH418&lt;&gt;"",MIN($AH418,Settings!$B$3),Settings!$B$3)))-MONTH($R418)+1))</f>
        <v/>
      </c>
      <c r="AL418" s="23">
        <f>IF(OR($S418="",$R418=""),"",ROUND(MAX(0,IF($W418="Straight-line",IF(N($V418)&lt;=0,0,($S418-N($U418))*MIN($AK418,$V418)/$V418),IF($W418="Reducing balance",MIN(($S418-N($U418)),$S418-$S418*(1-N($AG418))^INT($AK418/12)*(1-N($AG418)*MOD($AK418,12)/12)),IF($W418="DDB",IF(N($V418)&lt;=0,0,MIN(($S418-N($U418)),$S418-$S418*(1-MIN(1,24/$V418))^INT($AK418/12)*(1-MIN(1,24/$V418)*MOD($AK418,12)/12))),IF($W418="SYD",IF(N($V418)&lt;=0,0,($S418-N($U418))*(INT(MIN($AK418,$V418)/12)*(2*($V418/12)-INT(MIN($AK418,$V418)/12)+1)/2+MOD(MIN($AK418,$V418),12)/12*(($V418/12)-INT(MIN($AK418,$V418)/12)))/(($V418/12)*(($V418/12)+1)/2)),0))))),2))</f>
        <v/>
      </c>
      <c r="AM418" s="23">
        <f>IF($X418="","",$X418-$AL418)</f>
        <v/>
      </c>
      <c r="AN418" s="23">
        <f>IF(OR($AH418="",$Y418=""),"",N($AI418)-$Y418)</f>
        <v/>
      </c>
    </row>
    <row r="419">
      <c r="Q419" s="20" t="n"/>
      <c r="R419" s="20" t="n"/>
      <c r="S419" s="21" t="n"/>
      <c r="U419" s="21" t="n"/>
      <c r="V419" s="22" t="n"/>
      <c r="X419" s="23">
        <f>IF(OR($S419="",$R419=""),"",ROUND(MAX(0,IF($W419="Straight-line",IF(N($V419)&lt;=0,0,($S419-N($U419))*MIN($AJ419,$V419)/$V419),IF($W419="Reducing balance",MIN(($S419-N($U419)),$S419-$S419*(1-N($AG419))^INT($AJ419/12)*(1-N($AG419)*MOD($AJ419,12)/12)),IF($W419="DDB",IF(N($V419)&lt;=0,0,MIN(($S419-N($U419)),$S419-$S419*(1-MIN(1,24/$V419))^INT($AJ419/12)*(1-MIN(1,24/$V419)*MOD($AJ419,12)/12))),IF($W419="SYD",IF(N($V419)&lt;=0,0,($S419-N($U419))*(INT(MIN($AJ419,$V419)/12)*(2*($V419/12)-INT(MIN($AJ419,$V419)/12)+1)/2+MOD(MIN($AJ419,$V419),12)/12*(($V419/12)-INT(MIN($AJ419,$V419)/12)))/(($V419/12)*(($V419/12)+1)/2)),0))))),2))</f>
        <v/>
      </c>
      <c r="Y419" s="23">
        <f>IF($X419="","",$S419-$X419)</f>
        <v/>
      </c>
      <c r="AD419" s="20" t="n"/>
      <c r="AG419" s="24" t="n"/>
      <c r="AH419" s="20" t="n"/>
      <c r="AI419" s="21" t="n"/>
      <c r="AJ419" s="25">
        <f>IF($R419="","",IF($R419&gt;IF($AH419&lt;&gt;"",MIN($AH419,Settings!$B$3),Settings!$B$3),0,(YEAR(IF($AH419&lt;&gt;"",MIN($AH419,Settings!$B$3),Settings!$B$3))-YEAR($R419))*12+MONTH(IF($AH419&lt;&gt;"",MIN($AH419,Settings!$B$3),Settings!$B$3))-MONTH($R419)+1))</f>
        <v/>
      </c>
      <c r="AK419" s="25">
        <f>IF($R419="","",IF($R419&gt;MIN(Settings!$B$4-1,IF($AH419&lt;&gt;"",MIN($AH419,Settings!$B$3),Settings!$B$3)),0,(YEAR(MIN(Settings!$B$4-1,IF($AH419&lt;&gt;"",MIN($AH419,Settings!$B$3),Settings!$B$3)))-YEAR($R419))*12+MONTH(MIN(Settings!$B$4-1,IF($AH419&lt;&gt;"",MIN($AH419,Settings!$B$3),Settings!$B$3)))-MONTH($R419)+1))</f>
        <v/>
      </c>
      <c r="AL419" s="23">
        <f>IF(OR($S419="",$R419=""),"",ROUND(MAX(0,IF($W419="Straight-line",IF(N($V419)&lt;=0,0,($S419-N($U419))*MIN($AK419,$V419)/$V419),IF($W419="Reducing balance",MIN(($S419-N($U419)),$S419-$S419*(1-N($AG419))^INT($AK419/12)*(1-N($AG419)*MOD($AK419,12)/12)),IF($W419="DDB",IF(N($V419)&lt;=0,0,MIN(($S419-N($U419)),$S419-$S419*(1-MIN(1,24/$V419))^INT($AK419/12)*(1-MIN(1,24/$V419)*MOD($AK419,12)/12))),IF($W419="SYD",IF(N($V419)&lt;=0,0,($S419-N($U419))*(INT(MIN($AK419,$V419)/12)*(2*($V419/12)-INT(MIN($AK419,$V419)/12)+1)/2+MOD(MIN($AK419,$V419),12)/12*(($V419/12)-INT(MIN($AK419,$V419)/12)))/(($V419/12)*(($V419/12)+1)/2)),0))))),2))</f>
        <v/>
      </c>
      <c r="AM419" s="23">
        <f>IF($X419="","",$X419-$AL419)</f>
        <v/>
      </c>
      <c r="AN419" s="23">
        <f>IF(OR($AH419="",$Y419=""),"",N($AI419)-$Y419)</f>
        <v/>
      </c>
    </row>
    <row r="420">
      <c r="Q420" s="20" t="n"/>
      <c r="R420" s="20" t="n"/>
      <c r="S420" s="21" t="n"/>
      <c r="U420" s="21" t="n"/>
      <c r="V420" s="22" t="n"/>
      <c r="X420" s="23">
        <f>IF(OR($S420="",$R420=""),"",ROUND(MAX(0,IF($W420="Straight-line",IF(N($V420)&lt;=0,0,($S420-N($U420))*MIN($AJ420,$V420)/$V420),IF($W420="Reducing balance",MIN(($S420-N($U420)),$S420-$S420*(1-N($AG420))^INT($AJ420/12)*(1-N($AG420)*MOD($AJ420,12)/12)),IF($W420="DDB",IF(N($V420)&lt;=0,0,MIN(($S420-N($U420)),$S420-$S420*(1-MIN(1,24/$V420))^INT($AJ420/12)*(1-MIN(1,24/$V420)*MOD($AJ420,12)/12))),IF($W420="SYD",IF(N($V420)&lt;=0,0,($S420-N($U420))*(INT(MIN($AJ420,$V420)/12)*(2*($V420/12)-INT(MIN($AJ420,$V420)/12)+1)/2+MOD(MIN($AJ420,$V420),12)/12*(($V420/12)-INT(MIN($AJ420,$V420)/12)))/(($V420/12)*(($V420/12)+1)/2)),0))))),2))</f>
        <v/>
      </c>
      <c r="Y420" s="23">
        <f>IF($X420="","",$S420-$X420)</f>
        <v/>
      </c>
      <c r="AD420" s="20" t="n"/>
      <c r="AG420" s="24" t="n"/>
      <c r="AH420" s="20" t="n"/>
      <c r="AI420" s="21" t="n"/>
      <c r="AJ420" s="25">
        <f>IF($R420="","",IF($R420&gt;IF($AH420&lt;&gt;"",MIN($AH420,Settings!$B$3),Settings!$B$3),0,(YEAR(IF($AH420&lt;&gt;"",MIN($AH420,Settings!$B$3),Settings!$B$3))-YEAR($R420))*12+MONTH(IF($AH420&lt;&gt;"",MIN($AH420,Settings!$B$3),Settings!$B$3))-MONTH($R420)+1))</f>
        <v/>
      </c>
      <c r="AK420" s="25">
        <f>IF($R420="","",IF($R420&gt;MIN(Settings!$B$4-1,IF($AH420&lt;&gt;"",MIN($AH420,Settings!$B$3),Settings!$B$3)),0,(YEAR(MIN(Settings!$B$4-1,IF($AH420&lt;&gt;"",MIN($AH420,Settings!$B$3),Settings!$B$3)))-YEAR($R420))*12+MONTH(MIN(Settings!$B$4-1,IF($AH420&lt;&gt;"",MIN($AH420,Settings!$B$3),Settings!$B$3)))-MONTH($R420)+1))</f>
        <v/>
      </c>
      <c r="AL420" s="23">
        <f>IF(OR($S420="",$R420=""),"",ROUND(MAX(0,IF($W420="Straight-line",IF(N($V420)&lt;=0,0,($S420-N($U420))*MIN($AK420,$V420)/$V420),IF($W420="Reducing balance",MIN(($S420-N($U420)),$S420-$S420*(1-N($AG420))^INT($AK420/12)*(1-N($AG420)*MOD($AK420,12)/12)),IF($W420="DDB",IF(N($V420)&lt;=0,0,MIN(($S420-N($U420)),$S420-$S420*(1-MIN(1,24/$V420))^INT($AK420/12)*(1-MIN(1,24/$V420)*MOD($AK420,12)/12))),IF($W420="SYD",IF(N($V420)&lt;=0,0,($S420-N($U420))*(INT(MIN($AK420,$V420)/12)*(2*($V420/12)-INT(MIN($AK420,$V420)/12)+1)/2+MOD(MIN($AK420,$V420),12)/12*(($V420/12)-INT(MIN($AK420,$V420)/12)))/(($V420/12)*(($V420/12)+1)/2)),0))))),2))</f>
        <v/>
      </c>
      <c r="AM420" s="23">
        <f>IF($X420="","",$X420-$AL420)</f>
        <v/>
      </c>
      <c r="AN420" s="23">
        <f>IF(OR($AH420="",$Y420=""),"",N($AI420)-$Y420)</f>
        <v/>
      </c>
    </row>
    <row r="421">
      <c r="Q421" s="20" t="n"/>
      <c r="R421" s="20" t="n"/>
      <c r="S421" s="21" t="n"/>
      <c r="U421" s="21" t="n"/>
      <c r="V421" s="22" t="n"/>
      <c r="X421" s="23">
        <f>IF(OR($S421="",$R421=""),"",ROUND(MAX(0,IF($W421="Straight-line",IF(N($V421)&lt;=0,0,($S421-N($U421))*MIN($AJ421,$V421)/$V421),IF($W421="Reducing balance",MIN(($S421-N($U421)),$S421-$S421*(1-N($AG421))^INT($AJ421/12)*(1-N($AG421)*MOD($AJ421,12)/12)),IF($W421="DDB",IF(N($V421)&lt;=0,0,MIN(($S421-N($U421)),$S421-$S421*(1-MIN(1,24/$V421))^INT($AJ421/12)*(1-MIN(1,24/$V421)*MOD($AJ421,12)/12))),IF($W421="SYD",IF(N($V421)&lt;=0,0,($S421-N($U421))*(INT(MIN($AJ421,$V421)/12)*(2*($V421/12)-INT(MIN($AJ421,$V421)/12)+1)/2+MOD(MIN($AJ421,$V421),12)/12*(($V421/12)-INT(MIN($AJ421,$V421)/12)))/(($V421/12)*(($V421/12)+1)/2)),0))))),2))</f>
        <v/>
      </c>
      <c r="Y421" s="23">
        <f>IF($X421="","",$S421-$X421)</f>
        <v/>
      </c>
      <c r="AD421" s="20" t="n"/>
      <c r="AG421" s="24" t="n"/>
      <c r="AH421" s="20" t="n"/>
      <c r="AI421" s="21" t="n"/>
      <c r="AJ421" s="25">
        <f>IF($R421="","",IF($R421&gt;IF($AH421&lt;&gt;"",MIN($AH421,Settings!$B$3),Settings!$B$3),0,(YEAR(IF($AH421&lt;&gt;"",MIN($AH421,Settings!$B$3),Settings!$B$3))-YEAR($R421))*12+MONTH(IF($AH421&lt;&gt;"",MIN($AH421,Settings!$B$3),Settings!$B$3))-MONTH($R421)+1))</f>
        <v/>
      </c>
      <c r="AK421" s="25">
        <f>IF($R421="","",IF($R421&gt;MIN(Settings!$B$4-1,IF($AH421&lt;&gt;"",MIN($AH421,Settings!$B$3),Settings!$B$3)),0,(YEAR(MIN(Settings!$B$4-1,IF($AH421&lt;&gt;"",MIN($AH421,Settings!$B$3),Settings!$B$3)))-YEAR($R421))*12+MONTH(MIN(Settings!$B$4-1,IF($AH421&lt;&gt;"",MIN($AH421,Settings!$B$3),Settings!$B$3)))-MONTH($R421)+1))</f>
        <v/>
      </c>
      <c r="AL421" s="23">
        <f>IF(OR($S421="",$R421=""),"",ROUND(MAX(0,IF($W421="Straight-line",IF(N($V421)&lt;=0,0,($S421-N($U421))*MIN($AK421,$V421)/$V421),IF($W421="Reducing balance",MIN(($S421-N($U421)),$S421-$S421*(1-N($AG421))^INT($AK421/12)*(1-N($AG421)*MOD($AK421,12)/12)),IF($W421="DDB",IF(N($V421)&lt;=0,0,MIN(($S421-N($U421)),$S421-$S421*(1-MIN(1,24/$V421))^INT($AK421/12)*(1-MIN(1,24/$V421)*MOD($AK421,12)/12))),IF($W421="SYD",IF(N($V421)&lt;=0,0,($S421-N($U421))*(INT(MIN($AK421,$V421)/12)*(2*($V421/12)-INT(MIN($AK421,$V421)/12)+1)/2+MOD(MIN($AK421,$V421),12)/12*(($V421/12)-INT(MIN($AK421,$V421)/12)))/(($V421/12)*(($V421/12)+1)/2)),0))))),2))</f>
        <v/>
      </c>
      <c r="AM421" s="23">
        <f>IF($X421="","",$X421-$AL421)</f>
        <v/>
      </c>
      <c r="AN421" s="23">
        <f>IF(OR($AH421="",$Y421=""),"",N($AI421)-$Y421)</f>
        <v/>
      </c>
    </row>
    <row r="422">
      <c r="Q422" s="20" t="n"/>
      <c r="R422" s="20" t="n"/>
      <c r="S422" s="21" t="n"/>
      <c r="U422" s="21" t="n"/>
      <c r="V422" s="22" t="n"/>
      <c r="X422" s="23">
        <f>IF(OR($S422="",$R422=""),"",ROUND(MAX(0,IF($W422="Straight-line",IF(N($V422)&lt;=0,0,($S422-N($U422))*MIN($AJ422,$V422)/$V422),IF($W422="Reducing balance",MIN(($S422-N($U422)),$S422-$S422*(1-N($AG422))^INT($AJ422/12)*(1-N($AG422)*MOD($AJ422,12)/12)),IF($W422="DDB",IF(N($V422)&lt;=0,0,MIN(($S422-N($U422)),$S422-$S422*(1-MIN(1,24/$V422))^INT($AJ422/12)*(1-MIN(1,24/$V422)*MOD($AJ422,12)/12))),IF($W422="SYD",IF(N($V422)&lt;=0,0,($S422-N($U422))*(INT(MIN($AJ422,$V422)/12)*(2*($V422/12)-INT(MIN($AJ422,$V422)/12)+1)/2+MOD(MIN($AJ422,$V422),12)/12*(($V422/12)-INT(MIN($AJ422,$V422)/12)))/(($V422/12)*(($V422/12)+1)/2)),0))))),2))</f>
        <v/>
      </c>
      <c r="Y422" s="23">
        <f>IF($X422="","",$S422-$X422)</f>
        <v/>
      </c>
      <c r="AD422" s="20" t="n"/>
      <c r="AG422" s="24" t="n"/>
      <c r="AH422" s="20" t="n"/>
      <c r="AI422" s="21" t="n"/>
      <c r="AJ422" s="25">
        <f>IF($R422="","",IF($R422&gt;IF($AH422&lt;&gt;"",MIN($AH422,Settings!$B$3),Settings!$B$3),0,(YEAR(IF($AH422&lt;&gt;"",MIN($AH422,Settings!$B$3),Settings!$B$3))-YEAR($R422))*12+MONTH(IF($AH422&lt;&gt;"",MIN($AH422,Settings!$B$3),Settings!$B$3))-MONTH($R422)+1))</f>
        <v/>
      </c>
      <c r="AK422" s="25">
        <f>IF($R422="","",IF($R422&gt;MIN(Settings!$B$4-1,IF($AH422&lt;&gt;"",MIN($AH422,Settings!$B$3),Settings!$B$3)),0,(YEAR(MIN(Settings!$B$4-1,IF($AH422&lt;&gt;"",MIN($AH422,Settings!$B$3),Settings!$B$3)))-YEAR($R422))*12+MONTH(MIN(Settings!$B$4-1,IF($AH422&lt;&gt;"",MIN($AH422,Settings!$B$3),Settings!$B$3)))-MONTH($R422)+1))</f>
        <v/>
      </c>
      <c r="AL422" s="23">
        <f>IF(OR($S422="",$R422=""),"",ROUND(MAX(0,IF($W422="Straight-line",IF(N($V422)&lt;=0,0,($S422-N($U422))*MIN($AK422,$V422)/$V422),IF($W422="Reducing balance",MIN(($S422-N($U422)),$S422-$S422*(1-N($AG422))^INT($AK422/12)*(1-N($AG422)*MOD($AK422,12)/12)),IF($W422="DDB",IF(N($V422)&lt;=0,0,MIN(($S422-N($U422)),$S422-$S422*(1-MIN(1,24/$V422))^INT($AK422/12)*(1-MIN(1,24/$V422)*MOD($AK422,12)/12))),IF($W422="SYD",IF(N($V422)&lt;=0,0,($S422-N($U422))*(INT(MIN($AK422,$V422)/12)*(2*($V422/12)-INT(MIN($AK422,$V422)/12)+1)/2+MOD(MIN($AK422,$V422),12)/12*(($V422/12)-INT(MIN($AK422,$V422)/12)))/(($V422/12)*(($V422/12)+1)/2)),0))))),2))</f>
        <v/>
      </c>
      <c r="AM422" s="23">
        <f>IF($X422="","",$X422-$AL422)</f>
        <v/>
      </c>
      <c r="AN422" s="23">
        <f>IF(OR($AH422="",$Y422=""),"",N($AI422)-$Y422)</f>
        <v/>
      </c>
    </row>
    <row r="423">
      <c r="Q423" s="20" t="n"/>
      <c r="R423" s="20" t="n"/>
      <c r="S423" s="21" t="n"/>
      <c r="U423" s="21" t="n"/>
      <c r="V423" s="22" t="n"/>
      <c r="X423" s="23">
        <f>IF(OR($S423="",$R423=""),"",ROUND(MAX(0,IF($W423="Straight-line",IF(N($V423)&lt;=0,0,($S423-N($U423))*MIN($AJ423,$V423)/$V423),IF($W423="Reducing balance",MIN(($S423-N($U423)),$S423-$S423*(1-N($AG423))^INT($AJ423/12)*(1-N($AG423)*MOD($AJ423,12)/12)),IF($W423="DDB",IF(N($V423)&lt;=0,0,MIN(($S423-N($U423)),$S423-$S423*(1-MIN(1,24/$V423))^INT($AJ423/12)*(1-MIN(1,24/$V423)*MOD($AJ423,12)/12))),IF($W423="SYD",IF(N($V423)&lt;=0,0,($S423-N($U423))*(INT(MIN($AJ423,$V423)/12)*(2*($V423/12)-INT(MIN($AJ423,$V423)/12)+1)/2+MOD(MIN($AJ423,$V423),12)/12*(($V423/12)-INT(MIN($AJ423,$V423)/12)))/(($V423/12)*(($V423/12)+1)/2)),0))))),2))</f>
        <v/>
      </c>
      <c r="Y423" s="23">
        <f>IF($X423="","",$S423-$X423)</f>
        <v/>
      </c>
      <c r="AD423" s="20" t="n"/>
      <c r="AG423" s="24" t="n"/>
      <c r="AH423" s="20" t="n"/>
      <c r="AI423" s="21" t="n"/>
      <c r="AJ423" s="25">
        <f>IF($R423="","",IF($R423&gt;IF($AH423&lt;&gt;"",MIN($AH423,Settings!$B$3),Settings!$B$3),0,(YEAR(IF($AH423&lt;&gt;"",MIN($AH423,Settings!$B$3),Settings!$B$3))-YEAR($R423))*12+MONTH(IF($AH423&lt;&gt;"",MIN($AH423,Settings!$B$3),Settings!$B$3))-MONTH($R423)+1))</f>
        <v/>
      </c>
      <c r="AK423" s="25">
        <f>IF($R423="","",IF($R423&gt;MIN(Settings!$B$4-1,IF($AH423&lt;&gt;"",MIN($AH423,Settings!$B$3),Settings!$B$3)),0,(YEAR(MIN(Settings!$B$4-1,IF($AH423&lt;&gt;"",MIN($AH423,Settings!$B$3),Settings!$B$3)))-YEAR($R423))*12+MONTH(MIN(Settings!$B$4-1,IF($AH423&lt;&gt;"",MIN($AH423,Settings!$B$3),Settings!$B$3)))-MONTH($R423)+1))</f>
        <v/>
      </c>
      <c r="AL423" s="23">
        <f>IF(OR($S423="",$R423=""),"",ROUND(MAX(0,IF($W423="Straight-line",IF(N($V423)&lt;=0,0,($S423-N($U423))*MIN($AK423,$V423)/$V423),IF($W423="Reducing balance",MIN(($S423-N($U423)),$S423-$S423*(1-N($AG423))^INT($AK423/12)*(1-N($AG423)*MOD($AK423,12)/12)),IF($W423="DDB",IF(N($V423)&lt;=0,0,MIN(($S423-N($U423)),$S423-$S423*(1-MIN(1,24/$V423))^INT($AK423/12)*(1-MIN(1,24/$V423)*MOD($AK423,12)/12))),IF($W423="SYD",IF(N($V423)&lt;=0,0,($S423-N($U423))*(INT(MIN($AK423,$V423)/12)*(2*($V423/12)-INT(MIN($AK423,$V423)/12)+1)/2+MOD(MIN($AK423,$V423),12)/12*(($V423/12)-INT(MIN($AK423,$V423)/12)))/(($V423/12)*(($V423/12)+1)/2)),0))))),2))</f>
        <v/>
      </c>
      <c r="AM423" s="23">
        <f>IF($X423="","",$X423-$AL423)</f>
        <v/>
      </c>
      <c r="AN423" s="23">
        <f>IF(OR($AH423="",$Y423=""),"",N($AI423)-$Y423)</f>
        <v/>
      </c>
    </row>
    <row r="424">
      <c r="Q424" s="20" t="n"/>
      <c r="R424" s="20" t="n"/>
      <c r="S424" s="21" t="n"/>
      <c r="U424" s="21" t="n"/>
      <c r="V424" s="22" t="n"/>
      <c r="X424" s="23">
        <f>IF(OR($S424="",$R424=""),"",ROUND(MAX(0,IF($W424="Straight-line",IF(N($V424)&lt;=0,0,($S424-N($U424))*MIN($AJ424,$V424)/$V424),IF($W424="Reducing balance",MIN(($S424-N($U424)),$S424-$S424*(1-N($AG424))^INT($AJ424/12)*(1-N($AG424)*MOD($AJ424,12)/12)),IF($W424="DDB",IF(N($V424)&lt;=0,0,MIN(($S424-N($U424)),$S424-$S424*(1-MIN(1,24/$V424))^INT($AJ424/12)*(1-MIN(1,24/$V424)*MOD($AJ424,12)/12))),IF($W424="SYD",IF(N($V424)&lt;=0,0,($S424-N($U424))*(INT(MIN($AJ424,$V424)/12)*(2*($V424/12)-INT(MIN($AJ424,$V424)/12)+1)/2+MOD(MIN($AJ424,$V424),12)/12*(($V424/12)-INT(MIN($AJ424,$V424)/12)))/(($V424/12)*(($V424/12)+1)/2)),0))))),2))</f>
        <v/>
      </c>
      <c r="Y424" s="23">
        <f>IF($X424="","",$S424-$X424)</f>
        <v/>
      </c>
      <c r="AD424" s="20" t="n"/>
      <c r="AG424" s="24" t="n"/>
      <c r="AH424" s="20" t="n"/>
      <c r="AI424" s="21" t="n"/>
      <c r="AJ424" s="25">
        <f>IF($R424="","",IF($R424&gt;IF($AH424&lt;&gt;"",MIN($AH424,Settings!$B$3),Settings!$B$3),0,(YEAR(IF($AH424&lt;&gt;"",MIN($AH424,Settings!$B$3),Settings!$B$3))-YEAR($R424))*12+MONTH(IF($AH424&lt;&gt;"",MIN($AH424,Settings!$B$3),Settings!$B$3))-MONTH($R424)+1))</f>
        <v/>
      </c>
      <c r="AK424" s="25">
        <f>IF($R424="","",IF($R424&gt;MIN(Settings!$B$4-1,IF($AH424&lt;&gt;"",MIN($AH424,Settings!$B$3),Settings!$B$3)),0,(YEAR(MIN(Settings!$B$4-1,IF($AH424&lt;&gt;"",MIN($AH424,Settings!$B$3),Settings!$B$3)))-YEAR($R424))*12+MONTH(MIN(Settings!$B$4-1,IF($AH424&lt;&gt;"",MIN($AH424,Settings!$B$3),Settings!$B$3)))-MONTH($R424)+1))</f>
        <v/>
      </c>
      <c r="AL424" s="23">
        <f>IF(OR($S424="",$R424=""),"",ROUND(MAX(0,IF($W424="Straight-line",IF(N($V424)&lt;=0,0,($S424-N($U424))*MIN($AK424,$V424)/$V424),IF($W424="Reducing balance",MIN(($S424-N($U424)),$S424-$S424*(1-N($AG424))^INT($AK424/12)*(1-N($AG424)*MOD($AK424,12)/12)),IF($W424="DDB",IF(N($V424)&lt;=0,0,MIN(($S424-N($U424)),$S424-$S424*(1-MIN(1,24/$V424))^INT($AK424/12)*(1-MIN(1,24/$V424)*MOD($AK424,12)/12))),IF($W424="SYD",IF(N($V424)&lt;=0,0,($S424-N($U424))*(INT(MIN($AK424,$V424)/12)*(2*($V424/12)-INT(MIN($AK424,$V424)/12)+1)/2+MOD(MIN($AK424,$V424),12)/12*(($V424/12)-INT(MIN($AK424,$V424)/12)))/(($V424/12)*(($V424/12)+1)/2)),0))))),2))</f>
        <v/>
      </c>
      <c r="AM424" s="23">
        <f>IF($X424="","",$X424-$AL424)</f>
        <v/>
      </c>
      <c r="AN424" s="23">
        <f>IF(OR($AH424="",$Y424=""),"",N($AI424)-$Y424)</f>
        <v/>
      </c>
    </row>
    <row r="425">
      <c r="Q425" s="20" t="n"/>
      <c r="R425" s="20" t="n"/>
      <c r="S425" s="21" t="n"/>
      <c r="U425" s="21" t="n"/>
      <c r="V425" s="22" t="n"/>
      <c r="X425" s="23">
        <f>IF(OR($S425="",$R425=""),"",ROUND(MAX(0,IF($W425="Straight-line",IF(N($V425)&lt;=0,0,($S425-N($U425))*MIN($AJ425,$V425)/$V425),IF($W425="Reducing balance",MIN(($S425-N($U425)),$S425-$S425*(1-N($AG425))^INT($AJ425/12)*(1-N($AG425)*MOD($AJ425,12)/12)),IF($W425="DDB",IF(N($V425)&lt;=0,0,MIN(($S425-N($U425)),$S425-$S425*(1-MIN(1,24/$V425))^INT($AJ425/12)*(1-MIN(1,24/$V425)*MOD($AJ425,12)/12))),IF($W425="SYD",IF(N($V425)&lt;=0,0,($S425-N($U425))*(INT(MIN($AJ425,$V425)/12)*(2*($V425/12)-INT(MIN($AJ425,$V425)/12)+1)/2+MOD(MIN($AJ425,$V425),12)/12*(($V425/12)-INT(MIN($AJ425,$V425)/12)))/(($V425/12)*(($V425/12)+1)/2)),0))))),2))</f>
        <v/>
      </c>
      <c r="Y425" s="23">
        <f>IF($X425="","",$S425-$X425)</f>
        <v/>
      </c>
      <c r="AD425" s="20" t="n"/>
      <c r="AG425" s="24" t="n"/>
      <c r="AH425" s="20" t="n"/>
      <c r="AI425" s="21" t="n"/>
      <c r="AJ425" s="25">
        <f>IF($R425="","",IF($R425&gt;IF($AH425&lt;&gt;"",MIN($AH425,Settings!$B$3),Settings!$B$3),0,(YEAR(IF($AH425&lt;&gt;"",MIN($AH425,Settings!$B$3),Settings!$B$3))-YEAR($R425))*12+MONTH(IF($AH425&lt;&gt;"",MIN($AH425,Settings!$B$3),Settings!$B$3))-MONTH($R425)+1))</f>
        <v/>
      </c>
      <c r="AK425" s="25">
        <f>IF($R425="","",IF($R425&gt;MIN(Settings!$B$4-1,IF($AH425&lt;&gt;"",MIN($AH425,Settings!$B$3),Settings!$B$3)),0,(YEAR(MIN(Settings!$B$4-1,IF($AH425&lt;&gt;"",MIN($AH425,Settings!$B$3),Settings!$B$3)))-YEAR($R425))*12+MONTH(MIN(Settings!$B$4-1,IF($AH425&lt;&gt;"",MIN($AH425,Settings!$B$3),Settings!$B$3)))-MONTH($R425)+1))</f>
        <v/>
      </c>
      <c r="AL425" s="23">
        <f>IF(OR($S425="",$R425=""),"",ROUND(MAX(0,IF($W425="Straight-line",IF(N($V425)&lt;=0,0,($S425-N($U425))*MIN($AK425,$V425)/$V425),IF($W425="Reducing balance",MIN(($S425-N($U425)),$S425-$S425*(1-N($AG425))^INT($AK425/12)*(1-N($AG425)*MOD($AK425,12)/12)),IF($W425="DDB",IF(N($V425)&lt;=0,0,MIN(($S425-N($U425)),$S425-$S425*(1-MIN(1,24/$V425))^INT($AK425/12)*(1-MIN(1,24/$V425)*MOD($AK425,12)/12))),IF($W425="SYD",IF(N($V425)&lt;=0,0,($S425-N($U425))*(INT(MIN($AK425,$V425)/12)*(2*($V425/12)-INT(MIN($AK425,$V425)/12)+1)/2+MOD(MIN($AK425,$V425),12)/12*(($V425/12)-INT(MIN($AK425,$V425)/12)))/(($V425/12)*(($V425/12)+1)/2)),0))))),2))</f>
        <v/>
      </c>
      <c r="AM425" s="23">
        <f>IF($X425="","",$X425-$AL425)</f>
        <v/>
      </c>
      <c r="AN425" s="23">
        <f>IF(OR($AH425="",$Y425=""),"",N($AI425)-$Y425)</f>
        <v/>
      </c>
    </row>
    <row r="426">
      <c r="Q426" s="20" t="n"/>
      <c r="R426" s="20" t="n"/>
      <c r="S426" s="21" t="n"/>
      <c r="U426" s="21" t="n"/>
      <c r="V426" s="22" t="n"/>
      <c r="X426" s="23">
        <f>IF(OR($S426="",$R426=""),"",ROUND(MAX(0,IF($W426="Straight-line",IF(N($V426)&lt;=0,0,($S426-N($U426))*MIN($AJ426,$V426)/$V426),IF($W426="Reducing balance",MIN(($S426-N($U426)),$S426-$S426*(1-N($AG426))^INT($AJ426/12)*(1-N($AG426)*MOD($AJ426,12)/12)),IF($W426="DDB",IF(N($V426)&lt;=0,0,MIN(($S426-N($U426)),$S426-$S426*(1-MIN(1,24/$V426))^INT($AJ426/12)*(1-MIN(1,24/$V426)*MOD($AJ426,12)/12))),IF($W426="SYD",IF(N($V426)&lt;=0,0,($S426-N($U426))*(INT(MIN($AJ426,$V426)/12)*(2*($V426/12)-INT(MIN($AJ426,$V426)/12)+1)/2+MOD(MIN($AJ426,$V426),12)/12*(($V426/12)-INT(MIN($AJ426,$V426)/12)))/(($V426/12)*(($V426/12)+1)/2)),0))))),2))</f>
        <v/>
      </c>
      <c r="Y426" s="23">
        <f>IF($X426="","",$S426-$X426)</f>
        <v/>
      </c>
      <c r="AD426" s="20" t="n"/>
      <c r="AG426" s="24" t="n"/>
      <c r="AH426" s="20" t="n"/>
      <c r="AI426" s="21" t="n"/>
      <c r="AJ426" s="25">
        <f>IF($R426="","",IF($R426&gt;IF($AH426&lt;&gt;"",MIN($AH426,Settings!$B$3),Settings!$B$3),0,(YEAR(IF($AH426&lt;&gt;"",MIN($AH426,Settings!$B$3),Settings!$B$3))-YEAR($R426))*12+MONTH(IF($AH426&lt;&gt;"",MIN($AH426,Settings!$B$3),Settings!$B$3))-MONTH($R426)+1))</f>
        <v/>
      </c>
      <c r="AK426" s="25">
        <f>IF($R426="","",IF($R426&gt;MIN(Settings!$B$4-1,IF($AH426&lt;&gt;"",MIN($AH426,Settings!$B$3),Settings!$B$3)),0,(YEAR(MIN(Settings!$B$4-1,IF($AH426&lt;&gt;"",MIN($AH426,Settings!$B$3),Settings!$B$3)))-YEAR($R426))*12+MONTH(MIN(Settings!$B$4-1,IF($AH426&lt;&gt;"",MIN($AH426,Settings!$B$3),Settings!$B$3)))-MONTH($R426)+1))</f>
        <v/>
      </c>
      <c r="AL426" s="23">
        <f>IF(OR($S426="",$R426=""),"",ROUND(MAX(0,IF($W426="Straight-line",IF(N($V426)&lt;=0,0,($S426-N($U426))*MIN($AK426,$V426)/$V426),IF($W426="Reducing balance",MIN(($S426-N($U426)),$S426-$S426*(1-N($AG426))^INT($AK426/12)*(1-N($AG426)*MOD($AK426,12)/12)),IF($W426="DDB",IF(N($V426)&lt;=0,0,MIN(($S426-N($U426)),$S426-$S426*(1-MIN(1,24/$V426))^INT($AK426/12)*(1-MIN(1,24/$V426)*MOD($AK426,12)/12))),IF($W426="SYD",IF(N($V426)&lt;=0,0,($S426-N($U426))*(INT(MIN($AK426,$V426)/12)*(2*($V426/12)-INT(MIN($AK426,$V426)/12)+1)/2+MOD(MIN($AK426,$V426),12)/12*(($V426/12)-INT(MIN($AK426,$V426)/12)))/(($V426/12)*(($V426/12)+1)/2)),0))))),2))</f>
        <v/>
      </c>
      <c r="AM426" s="23">
        <f>IF($X426="","",$X426-$AL426)</f>
        <v/>
      </c>
      <c r="AN426" s="23">
        <f>IF(OR($AH426="",$Y426=""),"",N($AI426)-$Y426)</f>
        <v/>
      </c>
    </row>
    <row r="427">
      <c r="Q427" s="20" t="n"/>
      <c r="R427" s="20" t="n"/>
      <c r="S427" s="21" t="n"/>
      <c r="U427" s="21" t="n"/>
      <c r="V427" s="22" t="n"/>
      <c r="X427" s="23">
        <f>IF(OR($S427="",$R427=""),"",ROUND(MAX(0,IF($W427="Straight-line",IF(N($V427)&lt;=0,0,($S427-N($U427))*MIN($AJ427,$V427)/$V427),IF($W427="Reducing balance",MIN(($S427-N($U427)),$S427-$S427*(1-N($AG427))^INT($AJ427/12)*(1-N($AG427)*MOD($AJ427,12)/12)),IF($W427="DDB",IF(N($V427)&lt;=0,0,MIN(($S427-N($U427)),$S427-$S427*(1-MIN(1,24/$V427))^INT($AJ427/12)*(1-MIN(1,24/$V427)*MOD($AJ427,12)/12))),IF($W427="SYD",IF(N($V427)&lt;=0,0,($S427-N($U427))*(INT(MIN($AJ427,$V427)/12)*(2*($V427/12)-INT(MIN($AJ427,$V427)/12)+1)/2+MOD(MIN($AJ427,$V427),12)/12*(($V427/12)-INT(MIN($AJ427,$V427)/12)))/(($V427/12)*(($V427/12)+1)/2)),0))))),2))</f>
        <v/>
      </c>
      <c r="Y427" s="23">
        <f>IF($X427="","",$S427-$X427)</f>
        <v/>
      </c>
      <c r="AD427" s="20" t="n"/>
      <c r="AG427" s="24" t="n"/>
      <c r="AH427" s="20" t="n"/>
      <c r="AI427" s="21" t="n"/>
      <c r="AJ427" s="25">
        <f>IF($R427="","",IF($R427&gt;IF($AH427&lt;&gt;"",MIN($AH427,Settings!$B$3),Settings!$B$3),0,(YEAR(IF($AH427&lt;&gt;"",MIN($AH427,Settings!$B$3),Settings!$B$3))-YEAR($R427))*12+MONTH(IF($AH427&lt;&gt;"",MIN($AH427,Settings!$B$3),Settings!$B$3))-MONTH($R427)+1))</f>
        <v/>
      </c>
      <c r="AK427" s="25">
        <f>IF($R427="","",IF($R427&gt;MIN(Settings!$B$4-1,IF($AH427&lt;&gt;"",MIN($AH427,Settings!$B$3),Settings!$B$3)),0,(YEAR(MIN(Settings!$B$4-1,IF($AH427&lt;&gt;"",MIN($AH427,Settings!$B$3),Settings!$B$3)))-YEAR($R427))*12+MONTH(MIN(Settings!$B$4-1,IF($AH427&lt;&gt;"",MIN($AH427,Settings!$B$3),Settings!$B$3)))-MONTH($R427)+1))</f>
        <v/>
      </c>
      <c r="AL427" s="23">
        <f>IF(OR($S427="",$R427=""),"",ROUND(MAX(0,IF($W427="Straight-line",IF(N($V427)&lt;=0,0,($S427-N($U427))*MIN($AK427,$V427)/$V427),IF($W427="Reducing balance",MIN(($S427-N($U427)),$S427-$S427*(1-N($AG427))^INT($AK427/12)*(1-N($AG427)*MOD($AK427,12)/12)),IF($W427="DDB",IF(N($V427)&lt;=0,0,MIN(($S427-N($U427)),$S427-$S427*(1-MIN(1,24/$V427))^INT($AK427/12)*(1-MIN(1,24/$V427)*MOD($AK427,12)/12))),IF($W427="SYD",IF(N($V427)&lt;=0,0,($S427-N($U427))*(INT(MIN($AK427,$V427)/12)*(2*($V427/12)-INT(MIN($AK427,$V427)/12)+1)/2+MOD(MIN($AK427,$V427),12)/12*(($V427/12)-INT(MIN($AK427,$V427)/12)))/(($V427/12)*(($V427/12)+1)/2)),0))))),2))</f>
        <v/>
      </c>
      <c r="AM427" s="23">
        <f>IF($X427="","",$X427-$AL427)</f>
        <v/>
      </c>
      <c r="AN427" s="23">
        <f>IF(OR($AH427="",$Y427=""),"",N($AI427)-$Y427)</f>
        <v/>
      </c>
    </row>
    <row r="428">
      <c r="Q428" s="20" t="n"/>
      <c r="R428" s="20" t="n"/>
      <c r="S428" s="21" t="n"/>
      <c r="U428" s="21" t="n"/>
      <c r="V428" s="22" t="n"/>
      <c r="X428" s="23">
        <f>IF(OR($S428="",$R428=""),"",ROUND(MAX(0,IF($W428="Straight-line",IF(N($V428)&lt;=0,0,($S428-N($U428))*MIN($AJ428,$V428)/$V428),IF($W428="Reducing balance",MIN(($S428-N($U428)),$S428-$S428*(1-N($AG428))^INT($AJ428/12)*(1-N($AG428)*MOD($AJ428,12)/12)),IF($W428="DDB",IF(N($V428)&lt;=0,0,MIN(($S428-N($U428)),$S428-$S428*(1-MIN(1,24/$V428))^INT($AJ428/12)*(1-MIN(1,24/$V428)*MOD($AJ428,12)/12))),IF($W428="SYD",IF(N($V428)&lt;=0,0,($S428-N($U428))*(INT(MIN($AJ428,$V428)/12)*(2*($V428/12)-INT(MIN($AJ428,$V428)/12)+1)/2+MOD(MIN($AJ428,$V428),12)/12*(($V428/12)-INT(MIN($AJ428,$V428)/12)))/(($V428/12)*(($V428/12)+1)/2)),0))))),2))</f>
        <v/>
      </c>
      <c r="Y428" s="23">
        <f>IF($X428="","",$S428-$X428)</f>
        <v/>
      </c>
      <c r="AD428" s="20" t="n"/>
      <c r="AG428" s="24" t="n"/>
      <c r="AH428" s="20" t="n"/>
      <c r="AI428" s="21" t="n"/>
      <c r="AJ428" s="25">
        <f>IF($R428="","",IF($R428&gt;IF($AH428&lt;&gt;"",MIN($AH428,Settings!$B$3),Settings!$B$3),0,(YEAR(IF($AH428&lt;&gt;"",MIN($AH428,Settings!$B$3),Settings!$B$3))-YEAR($R428))*12+MONTH(IF($AH428&lt;&gt;"",MIN($AH428,Settings!$B$3),Settings!$B$3))-MONTH($R428)+1))</f>
        <v/>
      </c>
      <c r="AK428" s="25">
        <f>IF($R428="","",IF($R428&gt;MIN(Settings!$B$4-1,IF($AH428&lt;&gt;"",MIN($AH428,Settings!$B$3),Settings!$B$3)),0,(YEAR(MIN(Settings!$B$4-1,IF($AH428&lt;&gt;"",MIN($AH428,Settings!$B$3),Settings!$B$3)))-YEAR($R428))*12+MONTH(MIN(Settings!$B$4-1,IF($AH428&lt;&gt;"",MIN($AH428,Settings!$B$3),Settings!$B$3)))-MONTH($R428)+1))</f>
        <v/>
      </c>
      <c r="AL428" s="23">
        <f>IF(OR($S428="",$R428=""),"",ROUND(MAX(0,IF($W428="Straight-line",IF(N($V428)&lt;=0,0,($S428-N($U428))*MIN($AK428,$V428)/$V428),IF($W428="Reducing balance",MIN(($S428-N($U428)),$S428-$S428*(1-N($AG428))^INT($AK428/12)*(1-N($AG428)*MOD($AK428,12)/12)),IF($W428="DDB",IF(N($V428)&lt;=0,0,MIN(($S428-N($U428)),$S428-$S428*(1-MIN(1,24/$V428))^INT($AK428/12)*(1-MIN(1,24/$V428)*MOD($AK428,12)/12))),IF($W428="SYD",IF(N($V428)&lt;=0,0,($S428-N($U428))*(INT(MIN($AK428,$V428)/12)*(2*($V428/12)-INT(MIN($AK428,$V428)/12)+1)/2+MOD(MIN($AK428,$V428),12)/12*(($V428/12)-INT(MIN($AK428,$V428)/12)))/(($V428/12)*(($V428/12)+1)/2)),0))))),2))</f>
        <v/>
      </c>
      <c r="AM428" s="23">
        <f>IF($X428="","",$X428-$AL428)</f>
        <v/>
      </c>
      <c r="AN428" s="23">
        <f>IF(OR($AH428="",$Y428=""),"",N($AI428)-$Y428)</f>
        <v/>
      </c>
    </row>
    <row r="429">
      <c r="Q429" s="20" t="n"/>
      <c r="R429" s="20" t="n"/>
      <c r="S429" s="21" t="n"/>
      <c r="U429" s="21" t="n"/>
      <c r="V429" s="22" t="n"/>
      <c r="X429" s="23">
        <f>IF(OR($S429="",$R429=""),"",ROUND(MAX(0,IF($W429="Straight-line",IF(N($V429)&lt;=0,0,($S429-N($U429))*MIN($AJ429,$V429)/$V429),IF($W429="Reducing balance",MIN(($S429-N($U429)),$S429-$S429*(1-N($AG429))^INT($AJ429/12)*(1-N($AG429)*MOD($AJ429,12)/12)),IF($W429="DDB",IF(N($V429)&lt;=0,0,MIN(($S429-N($U429)),$S429-$S429*(1-MIN(1,24/$V429))^INT($AJ429/12)*(1-MIN(1,24/$V429)*MOD($AJ429,12)/12))),IF($W429="SYD",IF(N($V429)&lt;=0,0,($S429-N($U429))*(INT(MIN($AJ429,$V429)/12)*(2*($V429/12)-INT(MIN($AJ429,$V429)/12)+1)/2+MOD(MIN($AJ429,$V429),12)/12*(($V429/12)-INT(MIN($AJ429,$V429)/12)))/(($V429/12)*(($V429/12)+1)/2)),0))))),2))</f>
        <v/>
      </c>
      <c r="Y429" s="23">
        <f>IF($X429="","",$S429-$X429)</f>
        <v/>
      </c>
      <c r="AD429" s="20" t="n"/>
      <c r="AG429" s="24" t="n"/>
      <c r="AH429" s="20" t="n"/>
      <c r="AI429" s="21" t="n"/>
      <c r="AJ429" s="25">
        <f>IF($R429="","",IF($R429&gt;IF($AH429&lt;&gt;"",MIN($AH429,Settings!$B$3),Settings!$B$3),0,(YEAR(IF($AH429&lt;&gt;"",MIN($AH429,Settings!$B$3),Settings!$B$3))-YEAR($R429))*12+MONTH(IF($AH429&lt;&gt;"",MIN($AH429,Settings!$B$3),Settings!$B$3))-MONTH($R429)+1))</f>
        <v/>
      </c>
      <c r="AK429" s="25">
        <f>IF($R429="","",IF($R429&gt;MIN(Settings!$B$4-1,IF($AH429&lt;&gt;"",MIN($AH429,Settings!$B$3),Settings!$B$3)),0,(YEAR(MIN(Settings!$B$4-1,IF($AH429&lt;&gt;"",MIN($AH429,Settings!$B$3),Settings!$B$3)))-YEAR($R429))*12+MONTH(MIN(Settings!$B$4-1,IF($AH429&lt;&gt;"",MIN($AH429,Settings!$B$3),Settings!$B$3)))-MONTH($R429)+1))</f>
        <v/>
      </c>
      <c r="AL429" s="23">
        <f>IF(OR($S429="",$R429=""),"",ROUND(MAX(0,IF($W429="Straight-line",IF(N($V429)&lt;=0,0,($S429-N($U429))*MIN($AK429,$V429)/$V429),IF($W429="Reducing balance",MIN(($S429-N($U429)),$S429-$S429*(1-N($AG429))^INT($AK429/12)*(1-N($AG429)*MOD($AK429,12)/12)),IF($W429="DDB",IF(N($V429)&lt;=0,0,MIN(($S429-N($U429)),$S429-$S429*(1-MIN(1,24/$V429))^INT($AK429/12)*(1-MIN(1,24/$V429)*MOD($AK429,12)/12))),IF($W429="SYD",IF(N($V429)&lt;=0,0,($S429-N($U429))*(INT(MIN($AK429,$V429)/12)*(2*($V429/12)-INT(MIN($AK429,$V429)/12)+1)/2+MOD(MIN($AK429,$V429),12)/12*(($V429/12)-INT(MIN($AK429,$V429)/12)))/(($V429/12)*(($V429/12)+1)/2)),0))))),2))</f>
        <v/>
      </c>
      <c r="AM429" s="23">
        <f>IF($X429="","",$X429-$AL429)</f>
        <v/>
      </c>
      <c r="AN429" s="23">
        <f>IF(OR($AH429="",$Y429=""),"",N($AI429)-$Y429)</f>
        <v/>
      </c>
    </row>
    <row r="430">
      <c r="Q430" s="20" t="n"/>
      <c r="R430" s="20" t="n"/>
      <c r="S430" s="21" t="n"/>
      <c r="U430" s="21" t="n"/>
      <c r="V430" s="22" t="n"/>
      <c r="X430" s="23">
        <f>IF(OR($S430="",$R430=""),"",ROUND(MAX(0,IF($W430="Straight-line",IF(N($V430)&lt;=0,0,($S430-N($U430))*MIN($AJ430,$V430)/$V430),IF($W430="Reducing balance",MIN(($S430-N($U430)),$S430-$S430*(1-N($AG430))^INT($AJ430/12)*(1-N($AG430)*MOD($AJ430,12)/12)),IF($W430="DDB",IF(N($V430)&lt;=0,0,MIN(($S430-N($U430)),$S430-$S430*(1-MIN(1,24/$V430))^INT($AJ430/12)*(1-MIN(1,24/$V430)*MOD($AJ430,12)/12))),IF($W430="SYD",IF(N($V430)&lt;=0,0,($S430-N($U430))*(INT(MIN($AJ430,$V430)/12)*(2*($V430/12)-INT(MIN($AJ430,$V430)/12)+1)/2+MOD(MIN($AJ430,$V430),12)/12*(($V430/12)-INT(MIN($AJ430,$V430)/12)))/(($V430/12)*(($V430/12)+1)/2)),0))))),2))</f>
        <v/>
      </c>
      <c r="Y430" s="23">
        <f>IF($X430="","",$S430-$X430)</f>
        <v/>
      </c>
      <c r="AD430" s="20" t="n"/>
      <c r="AG430" s="24" t="n"/>
      <c r="AH430" s="20" t="n"/>
      <c r="AI430" s="21" t="n"/>
      <c r="AJ430" s="25">
        <f>IF($R430="","",IF($R430&gt;IF($AH430&lt;&gt;"",MIN($AH430,Settings!$B$3),Settings!$B$3),0,(YEAR(IF($AH430&lt;&gt;"",MIN($AH430,Settings!$B$3),Settings!$B$3))-YEAR($R430))*12+MONTH(IF($AH430&lt;&gt;"",MIN($AH430,Settings!$B$3),Settings!$B$3))-MONTH($R430)+1))</f>
        <v/>
      </c>
      <c r="AK430" s="25">
        <f>IF($R430="","",IF($R430&gt;MIN(Settings!$B$4-1,IF($AH430&lt;&gt;"",MIN($AH430,Settings!$B$3),Settings!$B$3)),0,(YEAR(MIN(Settings!$B$4-1,IF($AH430&lt;&gt;"",MIN($AH430,Settings!$B$3),Settings!$B$3)))-YEAR($R430))*12+MONTH(MIN(Settings!$B$4-1,IF($AH430&lt;&gt;"",MIN($AH430,Settings!$B$3),Settings!$B$3)))-MONTH($R430)+1))</f>
        <v/>
      </c>
      <c r="AL430" s="23">
        <f>IF(OR($S430="",$R430=""),"",ROUND(MAX(0,IF($W430="Straight-line",IF(N($V430)&lt;=0,0,($S430-N($U430))*MIN($AK430,$V430)/$V430),IF($W430="Reducing balance",MIN(($S430-N($U430)),$S430-$S430*(1-N($AG430))^INT($AK430/12)*(1-N($AG430)*MOD($AK430,12)/12)),IF($W430="DDB",IF(N($V430)&lt;=0,0,MIN(($S430-N($U430)),$S430-$S430*(1-MIN(1,24/$V430))^INT($AK430/12)*(1-MIN(1,24/$V430)*MOD($AK430,12)/12))),IF($W430="SYD",IF(N($V430)&lt;=0,0,($S430-N($U430))*(INT(MIN($AK430,$V430)/12)*(2*($V430/12)-INT(MIN($AK430,$V430)/12)+1)/2+MOD(MIN($AK430,$V430),12)/12*(($V430/12)-INT(MIN($AK430,$V430)/12)))/(($V430/12)*(($V430/12)+1)/2)),0))))),2))</f>
        <v/>
      </c>
      <c r="AM430" s="23">
        <f>IF($X430="","",$X430-$AL430)</f>
        <v/>
      </c>
      <c r="AN430" s="23">
        <f>IF(OR($AH430="",$Y430=""),"",N($AI430)-$Y430)</f>
        <v/>
      </c>
    </row>
    <row r="431">
      <c r="Q431" s="20" t="n"/>
      <c r="R431" s="20" t="n"/>
      <c r="S431" s="21" t="n"/>
      <c r="U431" s="21" t="n"/>
      <c r="V431" s="22" t="n"/>
      <c r="X431" s="23">
        <f>IF(OR($S431="",$R431=""),"",ROUND(MAX(0,IF($W431="Straight-line",IF(N($V431)&lt;=0,0,($S431-N($U431))*MIN($AJ431,$V431)/$V431),IF($W431="Reducing balance",MIN(($S431-N($U431)),$S431-$S431*(1-N($AG431))^INT($AJ431/12)*(1-N($AG431)*MOD($AJ431,12)/12)),IF($W431="DDB",IF(N($V431)&lt;=0,0,MIN(($S431-N($U431)),$S431-$S431*(1-MIN(1,24/$V431))^INT($AJ431/12)*(1-MIN(1,24/$V431)*MOD($AJ431,12)/12))),IF($W431="SYD",IF(N($V431)&lt;=0,0,($S431-N($U431))*(INT(MIN($AJ431,$V431)/12)*(2*($V431/12)-INT(MIN($AJ431,$V431)/12)+1)/2+MOD(MIN($AJ431,$V431),12)/12*(($V431/12)-INT(MIN($AJ431,$V431)/12)))/(($V431/12)*(($V431/12)+1)/2)),0))))),2))</f>
        <v/>
      </c>
      <c r="Y431" s="23">
        <f>IF($X431="","",$S431-$X431)</f>
        <v/>
      </c>
      <c r="AD431" s="20" t="n"/>
      <c r="AG431" s="24" t="n"/>
      <c r="AH431" s="20" t="n"/>
      <c r="AI431" s="21" t="n"/>
      <c r="AJ431" s="25">
        <f>IF($R431="","",IF($R431&gt;IF($AH431&lt;&gt;"",MIN($AH431,Settings!$B$3),Settings!$B$3),0,(YEAR(IF($AH431&lt;&gt;"",MIN($AH431,Settings!$B$3),Settings!$B$3))-YEAR($R431))*12+MONTH(IF($AH431&lt;&gt;"",MIN($AH431,Settings!$B$3),Settings!$B$3))-MONTH($R431)+1))</f>
        <v/>
      </c>
      <c r="AK431" s="25">
        <f>IF($R431="","",IF($R431&gt;MIN(Settings!$B$4-1,IF($AH431&lt;&gt;"",MIN($AH431,Settings!$B$3),Settings!$B$3)),0,(YEAR(MIN(Settings!$B$4-1,IF($AH431&lt;&gt;"",MIN($AH431,Settings!$B$3),Settings!$B$3)))-YEAR($R431))*12+MONTH(MIN(Settings!$B$4-1,IF($AH431&lt;&gt;"",MIN($AH431,Settings!$B$3),Settings!$B$3)))-MONTH($R431)+1))</f>
        <v/>
      </c>
      <c r="AL431" s="23">
        <f>IF(OR($S431="",$R431=""),"",ROUND(MAX(0,IF($W431="Straight-line",IF(N($V431)&lt;=0,0,($S431-N($U431))*MIN($AK431,$V431)/$V431),IF($W431="Reducing balance",MIN(($S431-N($U431)),$S431-$S431*(1-N($AG431))^INT($AK431/12)*(1-N($AG431)*MOD($AK431,12)/12)),IF($W431="DDB",IF(N($V431)&lt;=0,0,MIN(($S431-N($U431)),$S431-$S431*(1-MIN(1,24/$V431))^INT($AK431/12)*(1-MIN(1,24/$V431)*MOD($AK431,12)/12))),IF($W431="SYD",IF(N($V431)&lt;=0,0,($S431-N($U431))*(INT(MIN($AK431,$V431)/12)*(2*($V431/12)-INT(MIN($AK431,$V431)/12)+1)/2+MOD(MIN($AK431,$V431),12)/12*(($V431/12)-INT(MIN($AK431,$V431)/12)))/(($V431/12)*(($V431/12)+1)/2)),0))))),2))</f>
        <v/>
      </c>
      <c r="AM431" s="23">
        <f>IF($X431="","",$X431-$AL431)</f>
        <v/>
      </c>
      <c r="AN431" s="23">
        <f>IF(OR($AH431="",$Y431=""),"",N($AI431)-$Y431)</f>
        <v/>
      </c>
    </row>
    <row r="432">
      <c r="Q432" s="20" t="n"/>
      <c r="R432" s="20" t="n"/>
      <c r="S432" s="21" t="n"/>
      <c r="U432" s="21" t="n"/>
      <c r="V432" s="22" t="n"/>
      <c r="X432" s="23">
        <f>IF(OR($S432="",$R432=""),"",ROUND(MAX(0,IF($W432="Straight-line",IF(N($V432)&lt;=0,0,($S432-N($U432))*MIN($AJ432,$V432)/$V432),IF($W432="Reducing balance",MIN(($S432-N($U432)),$S432-$S432*(1-N($AG432))^INT($AJ432/12)*(1-N($AG432)*MOD($AJ432,12)/12)),IF($W432="DDB",IF(N($V432)&lt;=0,0,MIN(($S432-N($U432)),$S432-$S432*(1-MIN(1,24/$V432))^INT($AJ432/12)*(1-MIN(1,24/$V432)*MOD($AJ432,12)/12))),IF($W432="SYD",IF(N($V432)&lt;=0,0,($S432-N($U432))*(INT(MIN($AJ432,$V432)/12)*(2*($V432/12)-INT(MIN($AJ432,$V432)/12)+1)/2+MOD(MIN($AJ432,$V432),12)/12*(($V432/12)-INT(MIN($AJ432,$V432)/12)))/(($V432/12)*(($V432/12)+1)/2)),0))))),2))</f>
        <v/>
      </c>
      <c r="Y432" s="23">
        <f>IF($X432="","",$S432-$X432)</f>
        <v/>
      </c>
      <c r="AD432" s="20" t="n"/>
      <c r="AG432" s="24" t="n"/>
      <c r="AH432" s="20" t="n"/>
      <c r="AI432" s="21" t="n"/>
      <c r="AJ432" s="25">
        <f>IF($R432="","",IF($R432&gt;IF($AH432&lt;&gt;"",MIN($AH432,Settings!$B$3),Settings!$B$3),0,(YEAR(IF($AH432&lt;&gt;"",MIN($AH432,Settings!$B$3),Settings!$B$3))-YEAR($R432))*12+MONTH(IF($AH432&lt;&gt;"",MIN($AH432,Settings!$B$3),Settings!$B$3))-MONTH($R432)+1))</f>
        <v/>
      </c>
      <c r="AK432" s="25">
        <f>IF($R432="","",IF($R432&gt;MIN(Settings!$B$4-1,IF($AH432&lt;&gt;"",MIN($AH432,Settings!$B$3),Settings!$B$3)),0,(YEAR(MIN(Settings!$B$4-1,IF($AH432&lt;&gt;"",MIN($AH432,Settings!$B$3),Settings!$B$3)))-YEAR($R432))*12+MONTH(MIN(Settings!$B$4-1,IF($AH432&lt;&gt;"",MIN($AH432,Settings!$B$3),Settings!$B$3)))-MONTH($R432)+1))</f>
        <v/>
      </c>
      <c r="AL432" s="23">
        <f>IF(OR($S432="",$R432=""),"",ROUND(MAX(0,IF($W432="Straight-line",IF(N($V432)&lt;=0,0,($S432-N($U432))*MIN($AK432,$V432)/$V432),IF($W432="Reducing balance",MIN(($S432-N($U432)),$S432-$S432*(1-N($AG432))^INT($AK432/12)*(1-N($AG432)*MOD($AK432,12)/12)),IF($W432="DDB",IF(N($V432)&lt;=0,0,MIN(($S432-N($U432)),$S432-$S432*(1-MIN(1,24/$V432))^INT($AK432/12)*(1-MIN(1,24/$V432)*MOD($AK432,12)/12))),IF($W432="SYD",IF(N($V432)&lt;=0,0,($S432-N($U432))*(INT(MIN($AK432,$V432)/12)*(2*($V432/12)-INT(MIN($AK432,$V432)/12)+1)/2+MOD(MIN($AK432,$V432),12)/12*(($V432/12)-INT(MIN($AK432,$V432)/12)))/(($V432/12)*(($V432/12)+1)/2)),0))))),2))</f>
        <v/>
      </c>
      <c r="AM432" s="23">
        <f>IF($X432="","",$X432-$AL432)</f>
        <v/>
      </c>
      <c r="AN432" s="23">
        <f>IF(OR($AH432="",$Y432=""),"",N($AI432)-$Y432)</f>
        <v/>
      </c>
    </row>
    <row r="433">
      <c r="Q433" s="20" t="n"/>
      <c r="R433" s="20" t="n"/>
      <c r="S433" s="21" t="n"/>
      <c r="U433" s="21" t="n"/>
      <c r="V433" s="22" t="n"/>
      <c r="X433" s="23">
        <f>IF(OR($S433="",$R433=""),"",ROUND(MAX(0,IF($W433="Straight-line",IF(N($V433)&lt;=0,0,($S433-N($U433))*MIN($AJ433,$V433)/$V433),IF($W433="Reducing balance",MIN(($S433-N($U433)),$S433-$S433*(1-N($AG433))^INT($AJ433/12)*(1-N($AG433)*MOD($AJ433,12)/12)),IF($W433="DDB",IF(N($V433)&lt;=0,0,MIN(($S433-N($U433)),$S433-$S433*(1-MIN(1,24/$V433))^INT($AJ433/12)*(1-MIN(1,24/$V433)*MOD($AJ433,12)/12))),IF($W433="SYD",IF(N($V433)&lt;=0,0,($S433-N($U433))*(INT(MIN($AJ433,$V433)/12)*(2*($V433/12)-INT(MIN($AJ433,$V433)/12)+1)/2+MOD(MIN($AJ433,$V433),12)/12*(($V433/12)-INT(MIN($AJ433,$V433)/12)))/(($V433/12)*(($V433/12)+1)/2)),0))))),2))</f>
        <v/>
      </c>
      <c r="Y433" s="23">
        <f>IF($X433="","",$S433-$X433)</f>
        <v/>
      </c>
      <c r="AD433" s="20" t="n"/>
      <c r="AG433" s="24" t="n"/>
      <c r="AH433" s="20" t="n"/>
      <c r="AI433" s="21" t="n"/>
      <c r="AJ433" s="25">
        <f>IF($R433="","",IF($R433&gt;IF($AH433&lt;&gt;"",MIN($AH433,Settings!$B$3),Settings!$B$3),0,(YEAR(IF($AH433&lt;&gt;"",MIN($AH433,Settings!$B$3),Settings!$B$3))-YEAR($R433))*12+MONTH(IF($AH433&lt;&gt;"",MIN($AH433,Settings!$B$3),Settings!$B$3))-MONTH($R433)+1))</f>
        <v/>
      </c>
      <c r="AK433" s="25">
        <f>IF($R433="","",IF($R433&gt;MIN(Settings!$B$4-1,IF($AH433&lt;&gt;"",MIN($AH433,Settings!$B$3),Settings!$B$3)),0,(YEAR(MIN(Settings!$B$4-1,IF($AH433&lt;&gt;"",MIN($AH433,Settings!$B$3),Settings!$B$3)))-YEAR($R433))*12+MONTH(MIN(Settings!$B$4-1,IF($AH433&lt;&gt;"",MIN($AH433,Settings!$B$3),Settings!$B$3)))-MONTH($R433)+1))</f>
        <v/>
      </c>
      <c r="AL433" s="23">
        <f>IF(OR($S433="",$R433=""),"",ROUND(MAX(0,IF($W433="Straight-line",IF(N($V433)&lt;=0,0,($S433-N($U433))*MIN($AK433,$V433)/$V433),IF($W433="Reducing balance",MIN(($S433-N($U433)),$S433-$S433*(1-N($AG433))^INT($AK433/12)*(1-N($AG433)*MOD($AK433,12)/12)),IF($W433="DDB",IF(N($V433)&lt;=0,0,MIN(($S433-N($U433)),$S433-$S433*(1-MIN(1,24/$V433))^INT($AK433/12)*(1-MIN(1,24/$V433)*MOD($AK433,12)/12))),IF($W433="SYD",IF(N($V433)&lt;=0,0,($S433-N($U433))*(INT(MIN($AK433,$V433)/12)*(2*($V433/12)-INT(MIN($AK433,$V433)/12)+1)/2+MOD(MIN($AK433,$V433),12)/12*(($V433/12)-INT(MIN($AK433,$V433)/12)))/(($V433/12)*(($V433/12)+1)/2)),0))))),2))</f>
        <v/>
      </c>
      <c r="AM433" s="23">
        <f>IF($X433="","",$X433-$AL433)</f>
        <v/>
      </c>
      <c r="AN433" s="23">
        <f>IF(OR($AH433="",$Y433=""),"",N($AI433)-$Y433)</f>
        <v/>
      </c>
    </row>
    <row r="434">
      <c r="Q434" s="20" t="n"/>
      <c r="R434" s="20" t="n"/>
      <c r="S434" s="21" t="n"/>
      <c r="U434" s="21" t="n"/>
      <c r="V434" s="22" t="n"/>
      <c r="X434" s="23">
        <f>IF(OR($S434="",$R434=""),"",ROUND(MAX(0,IF($W434="Straight-line",IF(N($V434)&lt;=0,0,($S434-N($U434))*MIN($AJ434,$V434)/$V434),IF($W434="Reducing balance",MIN(($S434-N($U434)),$S434-$S434*(1-N($AG434))^INT($AJ434/12)*(1-N($AG434)*MOD($AJ434,12)/12)),IF($W434="DDB",IF(N($V434)&lt;=0,0,MIN(($S434-N($U434)),$S434-$S434*(1-MIN(1,24/$V434))^INT($AJ434/12)*(1-MIN(1,24/$V434)*MOD($AJ434,12)/12))),IF($W434="SYD",IF(N($V434)&lt;=0,0,($S434-N($U434))*(INT(MIN($AJ434,$V434)/12)*(2*($V434/12)-INT(MIN($AJ434,$V434)/12)+1)/2+MOD(MIN($AJ434,$V434),12)/12*(($V434/12)-INT(MIN($AJ434,$V434)/12)))/(($V434/12)*(($V434/12)+1)/2)),0))))),2))</f>
        <v/>
      </c>
      <c r="Y434" s="23">
        <f>IF($X434="","",$S434-$X434)</f>
        <v/>
      </c>
      <c r="AD434" s="20" t="n"/>
      <c r="AG434" s="24" t="n"/>
      <c r="AH434" s="20" t="n"/>
      <c r="AI434" s="21" t="n"/>
      <c r="AJ434" s="25">
        <f>IF($R434="","",IF($R434&gt;IF($AH434&lt;&gt;"",MIN($AH434,Settings!$B$3),Settings!$B$3),0,(YEAR(IF($AH434&lt;&gt;"",MIN($AH434,Settings!$B$3),Settings!$B$3))-YEAR($R434))*12+MONTH(IF($AH434&lt;&gt;"",MIN($AH434,Settings!$B$3),Settings!$B$3))-MONTH($R434)+1))</f>
        <v/>
      </c>
      <c r="AK434" s="25">
        <f>IF($R434="","",IF($R434&gt;MIN(Settings!$B$4-1,IF($AH434&lt;&gt;"",MIN($AH434,Settings!$B$3),Settings!$B$3)),0,(YEAR(MIN(Settings!$B$4-1,IF($AH434&lt;&gt;"",MIN($AH434,Settings!$B$3),Settings!$B$3)))-YEAR($R434))*12+MONTH(MIN(Settings!$B$4-1,IF($AH434&lt;&gt;"",MIN($AH434,Settings!$B$3),Settings!$B$3)))-MONTH($R434)+1))</f>
        <v/>
      </c>
      <c r="AL434" s="23">
        <f>IF(OR($S434="",$R434=""),"",ROUND(MAX(0,IF($W434="Straight-line",IF(N($V434)&lt;=0,0,($S434-N($U434))*MIN($AK434,$V434)/$V434),IF($W434="Reducing balance",MIN(($S434-N($U434)),$S434-$S434*(1-N($AG434))^INT($AK434/12)*(1-N($AG434)*MOD($AK434,12)/12)),IF($W434="DDB",IF(N($V434)&lt;=0,0,MIN(($S434-N($U434)),$S434-$S434*(1-MIN(1,24/$V434))^INT($AK434/12)*(1-MIN(1,24/$V434)*MOD($AK434,12)/12))),IF($W434="SYD",IF(N($V434)&lt;=0,0,($S434-N($U434))*(INT(MIN($AK434,$V434)/12)*(2*($V434/12)-INT(MIN($AK434,$V434)/12)+1)/2+MOD(MIN($AK434,$V434),12)/12*(($V434/12)-INT(MIN($AK434,$V434)/12)))/(($V434/12)*(($V434/12)+1)/2)),0))))),2))</f>
        <v/>
      </c>
      <c r="AM434" s="23">
        <f>IF($X434="","",$X434-$AL434)</f>
        <v/>
      </c>
      <c r="AN434" s="23">
        <f>IF(OR($AH434="",$Y434=""),"",N($AI434)-$Y434)</f>
        <v/>
      </c>
    </row>
    <row r="435">
      <c r="Q435" s="20" t="n"/>
      <c r="R435" s="20" t="n"/>
      <c r="S435" s="21" t="n"/>
      <c r="U435" s="21" t="n"/>
      <c r="V435" s="22" t="n"/>
      <c r="X435" s="23">
        <f>IF(OR($S435="",$R435=""),"",ROUND(MAX(0,IF($W435="Straight-line",IF(N($V435)&lt;=0,0,($S435-N($U435))*MIN($AJ435,$V435)/$V435),IF($W435="Reducing balance",MIN(($S435-N($U435)),$S435-$S435*(1-N($AG435))^INT($AJ435/12)*(1-N($AG435)*MOD($AJ435,12)/12)),IF($W435="DDB",IF(N($V435)&lt;=0,0,MIN(($S435-N($U435)),$S435-$S435*(1-MIN(1,24/$V435))^INT($AJ435/12)*(1-MIN(1,24/$V435)*MOD($AJ435,12)/12))),IF($W435="SYD",IF(N($V435)&lt;=0,0,($S435-N($U435))*(INT(MIN($AJ435,$V435)/12)*(2*($V435/12)-INT(MIN($AJ435,$V435)/12)+1)/2+MOD(MIN($AJ435,$V435),12)/12*(($V435/12)-INT(MIN($AJ435,$V435)/12)))/(($V435/12)*(($V435/12)+1)/2)),0))))),2))</f>
        <v/>
      </c>
      <c r="Y435" s="23">
        <f>IF($X435="","",$S435-$X435)</f>
        <v/>
      </c>
      <c r="AD435" s="20" t="n"/>
      <c r="AG435" s="24" t="n"/>
      <c r="AH435" s="20" t="n"/>
      <c r="AI435" s="21" t="n"/>
      <c r="AJ435" s="25">
        <f>IF($R435="","",IF($R435&gt;IF($AH435&lt;&gt;"",MIN($AH435,Settings!$B$3),Settings!$B$3),0,(YEAR(IF($AH435&lt;&gt;"",MIN($AH435,Settings!$B$3),Settings!$B$3))-YEAR($R435))*12+MONTH(IF($AH435&lt;&gt;"",MIN($AH435,Settings!$B$3),Settings!$B$3))-MONTH($R435)+1))</f>
        <v/>
      </c>
      <c r="AK435" s="25">
        <f>IF($R435="","",IF($R435&gt;MIN(Settings!$B$4-1,IF($AH435&lt;&gt;"",MIN($AH435,Settings!$B$3),Settings!$B$3)),0,(YEAR(MIN(Settings!$B$4-1,IF($AH435&lt;&gt;"",MIN($AH435,Settings!$B$3),Settings!$B$3)))-YEAR($R435))*12+MONTH(MIN(Settings!$B$4-1,IF($AH435&lt;&gt;"",MIN($AH435,Settings!$B$3),Settings!$B$3)))-MONTH($R435)+1))</f>
        <v/>
      </c>
      <c r="AL435" s="23">
        <f>IF(OR($S435="",$R435=""),"",ROUND(MAX(0,IF($W435="Straight-line",IF(N($V435)&lt;=0,0,($S435-N($U435))*MIN($AK435,$V435)/$V435),IF($W435="Reducing balance",MIN(($S435-N($U435)),$S435-$S435*(1-N($AG435))^INT($AK435/12)*(1-N($AG435)*MOD($AK435,12)/12)),IF($W435="DDB",IF(N($V435)&lt;=0,0,MIN(($S435-N($U435)),$S435-$S435*(1-MIN(1,24/$V435))^INT($AK435/12)*(1-MIN(1,24/$V435)*MOD($AK435,12)/12))),IF($W435="SYD",IF(N($V435)&lt;=0,0,($S435-N($U435))*(INT(MIN($AK435,$V435)/12)*(2*($V435/12)-INT(MIN($AK435,$V435)/12)+1)/2+MOD(MIN($AK435,$V435),12)/12*(($V435/12)-INT(MIN($AK435,$V435)/12)))/(($V435/12)*(($V435/12)+1)/2)),0))))),2))</f>
        <v/>
      </c>
      <c r="AM435" s="23">
        <f>IF($X435="","",$X435-$AL435)</f>
        <v/>
      </c>
      <c r="AN435" s="23">
        <f>IF(OR($AH435="",$Y435=""),"",N($AI435)-$Y435)</f>
        <v/>
      </c>
    </row>
    <row r="436">
      <c r="Q436" s="20" t="n"/>
      <c r="R436" s="20" t="n"/>
      <c r="S436" s="21" t="n"/>
      <c r="U436" s="21" t="n"/>
      <c r="V436" s="22" t="n"/>
      <c r="X436" s="23">
        <f>IF(OR($S436="",$R436=""),"",ROUND(MAX(0,IF($W436="Straight-line",IF(N($V436)&lt;=0,0,($S436-N($U436))*MIN($AJ436,$V436)/$V436),IF($W436="Reducing balance",MIN(($S436-N($U436)),$S436-$S436*(1-N($AG436))^INT($AJ436/12)*(1-N($AG436)*MOD($AJ436,12)/12)),IF($W436="DDB",IF(N($V436)&lt;=0,0,MIN(($S436-N($U436)),$S436-$S436*(1-MIN(1,24/$V436))^INT($AJ436/12)*(1-MIN(1,24/$V436)*MOD($AJ436,12)/12))),IF($W436="SYD",IF(N($V436)&lt;=0,0,($S436-N($U436))*(INT(MIN($AJ436,$V436)/12)*(2*($V436/12)-INT(MIN($AJ436,$V436)/12)+1)/2+MOD(MIN($AJ436,$V436),12)/12*(($V436/12)-INT(MIN($AJ436,$V436)/12)))/(($V436/12)*(($V436/12)+1)/2)),0))))),2))</f>
        <v/>
      </c>
      <c r="Y436" s="23">
        <f>IF($X436="","",$S436-$X436)</f>
        <v/>
      </c>
      <c r="AD436" s="20" t="n"/>
      <c r="AG436" s="24" t="n"/>
      <c r="AH436" s="20" t="n"/>
      <c r="AI436" s="21" t="n"/>
      <c r="AJ436" s="25">
        <f>IF($R436="","",IF($R436&gt;IF($AH436&lt;&gt;"",MIN($AH436,Settings!$B$3),Settings!$B$3),0,(YEAR(IF($AH436&lt;&gt;"",MIN($AH436,Settings!$B$3),Settings!$B$3))-YEAR($R436))*12+MONTH(IF($AH436&lt;&gt;"",MIN($AH436,Settings!$B$3),Settings!$B$3))-MONTH($R436)+1))</f>
        <v/>
      </c>
      <c r="AK436" s="25">
        <f>IF($R436="","",IF($R436&gt;MIN(Settings!$B$4-1,IF($AH436&lt;&gt;"",MIN($AH436,Settings!$B$3),Settings!$B$3)),0,(YEAR(MIN(Settings!$B$4-1,IF($AH436&lt;&gt;"",MIN($AH436,Settings!$B$3),Settings!$B$3)))-YEAR($R436))*12+MONTH(MIN(Settings!$B$4-1,IF($AH436&lt;&gt;"",MIN($AH436,Settings!$B$3),Settings!$B$3)))-MONTH($R436)+1))</f>
        <v/>
      </c>
      <c r="AL436" s="23">
        <f>IF(OR($S436="",$R436=""),"",ROUND(MAX(0,IF($W436="Straight-line",IF(N($V436)&lt;=0,0,($S436-N($U436))*MIN($AK436,$V436)/$V436),IF($W436="Reducing balance",MIN(($S436-N($U436)),$S436-$S436*(1-N($AG436))^INT($AK436/12)*(1-N($AG436)*MOD($AK436,12)/12)),IF($W436="DDB",IF(N($V436)&lt;=0,0,MIN(($S436-N($U436)),$S436-$S436*(1-MIN(1,24/$V436))^INT($AK436/12)*(1-MIN(1,24/$V436)*MOD($AK436,12)/12))),IF($W436="SYD",IF(N($V436)&lt;=0,0,($S436-N($U436))*(INT(MIN($AK436,$V436)/12)*(2*($V436/12)-INT(MIN($AK436,$V436)/12)+1)/2+MOD(MIN($AK436,$V436),12)/12*(($V436/12)-INT(MIN($AK436,$V436)/12)))/(($V436/12)*(($V436/12)+1)/2)),0))))),2))</f>
        <v/>
      </c>
      <c r="AM436" s="23">
        <f>IF($X436="","",$X436-$AL436)</f>
        <v/>
      </c>
      <c r="AN436" s="23">
        <f>IF(OR($AH436="",$Y436=""),"",N($AI436)-$Y436)</f>
        <v/>
      </c>
    </row>
    <row r="437">
      <c r="Q437" s="20" t="n"/>
      <c r="R437" s="20" t="n"/>
      <c r="S437" s="21" t="n"/>
      <c r="U437" s="21" t="n"/>
      <c r="V437" s="22" t="n"/>
      <c r="X437" s="23">
        <f>IF(OR($S437="",$R437=""),"",ROUND(MAX(0,IF($W437="Straight-line",IF(N($V437)&lt;=0,0,($S437-N($U437))*MIN($AJ437,$V437)/$V437),IF($W437="Reducing balance",MIN(($S437-N($U437)),$S437-$S437*(1-N($AG437))^INT($AJ437/12)*(1-N($AG437)*MOD($AJ437,12)/12)),IF($W437="DDB",IF(N($V437)&lt;=0,0,MIN(($S437-N($U437)),$S437-$S437*(1-MIN(1,24/$V437))^INT($AJ437/12)*(1-MIN(1,24/$V437)*MOD($AJ437,12)/12))),IF($W437="SYD",IF(N($V437)&lt;=0,0,($S437-N($U437))*(INT(MIN($AJ437,$V437)/12)*(2*($V437/12)-INT(MIN($AJ437,$V437)/12)+1)/2+MOD(MIN($AJ437,$V437),12)/12*(($V437/12)-INT(MIN($AJ437,$V437)/12)))/(($V437/12)*(($V437/12)+1)/2)),0))))),2))</f>
        <v/>
      </c>
      <c r="Y437" s="23">
        <f>IF($X437="","",$S437-$X437)</f>
        <v/>
      </c>
      <c r="AD437" s="20" t="n"/>
      <c r="AG437" s="24" t="n"/>
      <c r="AH437" s="20" t="n"/>
      <c r="AI437" s="21" t="n"/>
      <c r="AJ437" s="25">
        <f>IF($R437="","",IF($R437&gt;IF($AH437&lt;&gt;"",MIN($AH437,Settings!$B$3),Settings!$B$3),0,(YEAR(IF($AH437&lt;&gt;"",MIN($AH437,Settings!$B$3),Settings!$B$3))-YEAR($R437))*12+MONTH(IF($AH437&lt;&gt;"",MIN($AH437,Settings!$B$3),Settings!$B$3))-MONTH($R437)+1))</f>
        <v/>
      </c>
      <c r="AK437" s="25">
        <f>IF($R437="","",IF($R437&gt;MIN(Settings!$B$4-1,IF($AH437&lt;&gt;"",MIN($AH437,Settings!$B$3),Settings!$B$3)),0,(YEAR(MIN(Settings!$B$4-1,IF($AH437&lt;&gt;"",MIN($AH437,Settings!$B$3),Settings!$B$3)))-YEAR($R437))*12+MONTH(MIN(Settings!$B$4-1,IF($AH437&lt;&gt;"",MIN($AH437,Settings!$B$3),Settings!$B$3)))-MONTH($R437)+1))</f>
        <v/>
      </c>
      <c r="AL437" s="23">
        <f>IF(OR($S437="",$R437=""),"",ROUND(MAX(0,IF($W437="Straight-line",IF(N($V437)&lt;=0,0,($S437-N($U437))*MIN($AK437,$V437)/$V437),IF($W437="Reducing balance",MIN(($S437-N($U437)),$S437-$S437*(1-N($AG437))^INT($AK437/12)*(1-N($AG437)*MOD($AK437,12)/12)),IF($W437="DDB",IF(N($V437)&lt;=0,0,MIN(($S437-N($U437)),$S437-$S437*(1-MIN(1,24/$V437))^INT($AK437/12)*(1-MIN(1,24/$V437)*MOD($AK437,12)/12))),IF($W437="SYD",IF(N($V437)&lt;=0,0,($S437-N($U437))*(INT(MIN($AK437,$V437)/12)*(2*($V437/12)-INT(MIN($AK437,$V437)/12)+1)/2+MOD(MIN($AK437,$V437),12)/12*(($V437/12)-INT(MIN($AK437,$V437)/12)))/(($V437/12)*(($V437/12)+1)/2)),0))))),2))</f>
        <v/>
      </c>
      <c r="AM437" s="23">
        <f>IF($X437="","",$X437-$AL437)</f>
        <v/>
      </c>
      <c r="AN437" s="23">
        <f>IF(OR($AH437="",$Y437=""),"",N($AI437)-$Y437)</f>
        <v/>
      </c>
    </row>
    <row r="438">
      <c r="Q438" s="20" t="n"/>
      <c r="R438" s="20" t="n"/>
      <c r="S438" s="21" t="n"/>
      <c r="U438" s="21" t="n"/>
      <c r="V438" s="22" t="n"/>
      <c r="X438" s="23">
        <f>IF(OR($S438="",$R438=""),"",ROUND(MAX(0,IF($W438="Straight-line",IF(N($V438)&lt;=0,0,($S438-N($U438))*MIN($AJ438,$V438)/$V438),IF($W438="Reducing balance",MIN(($S438-N($U438)),$S438-$S438*(1-N($AG438))^INT($AJ438/12)*(1-N($AG438)*MOD($AJ438,12)/12)),IF($W438="DDB",IF(N($V438)&lt;=0,0,MIN(($S438-N($U438)),$S438-$S438*(1-MIN(1,24/$V438))^INT($AJ438/12)*(1-MIN(1,24/$V438)*MOD($AJ438,12)/12))),IF($W438="SYD",IF(N($V438)&lt;=0,0,($S438-N($U438))*(INT(MIN($AJ438,$V438)/12)*(2*($V438/12)-INT(MIN($AJ438,$V438)/12)+1)/2+MOD(MIN($AJ438,$V438),12)/12*(($V438/12)-INT(MIN($AJ438,$V438)/12)))/(($V438/12)*(($V438/12)+1)/2)),0))))),2))</f>
        <v/>
      </c>
      <c r="Y438" s="23">
        <f>IF($X438="","",$S438-$X438)</f>
        <v/>
      </c>
      <c r="AD438" s="20" t="n"/>
      <c r="AG438" s="24" t="n"/>
      <c r="AH438" s="20" t="n"/>
      <c r="AI438" s="21" t="n"/>
      <c r="AJ438" s="25">
        <f>IF($R438="","",IF($R438&gt;IF($AH438&lt;&gt;"",MIN($AH438,Settings!$B$3),Settings!$B$3),0,(YEAR(IF($AH438&lt;&gt;"",MIN($AH438,Settings!$B$3),Settings!$B$3))-YEAR($R438))*12+MONTH(IF($AH438&lt;&gt;"",MIN($AH438,Settings!$B$3),Settings!$B$3))-MONTH($R438)+1))</f>
        <v/>
      </c>
      <c r="AK438" s="25">
        <f>IF($R438="","",IF($R438&gt;MIN(Settings!$B$4-1,IF($AH438&lt;&gt;"",MIN($AH438,Settings!$B$3),Settings!$B$3)),0,(YEAR(MIN(Settings!$B$4-1,IF($AH438&lt;&gt;"",MIN($AH438,Settings!$B$3),Settings!$B$3)))-YEAR($R438))*12+MONTH(MIN(Settings!$B$4-1,IF($AH438&lt;&gt;"",MIN($AH438,Settings!$B$3),Settings!$B$3)))-MONTH($R438)+1))</f>
        <v/>
      </c>
      <c r="AL438" s="23">
        <f>IF(OR($S438="",$R438=""),"",ROUND(MAX(0,IF($W438="Straight-line",IF(N($V438)&lt;=0,0,($S438-N($U438))*MIN($AK438,$V438)/$V438),IF($W438="Reducing balance",MIN(($S438-N($U438)),$S438-$S438*(1-N($AG438))^INT($AK438/12)*(1-N($AG438)*MOD($AK438,12)/12)),IF($W438="DDB",IF(N($V438)&lt;=0,0,MIN(($S438-N($U438)),$S438-$S438*(1-MIN(1,24/$V438))^INT($AK438/12)*(1-MIN(1,24/$V438)*MOD($AK438,12)/12))),IF($W438="SYD",IF(N($V438)&lt;=0,0,($S438-N($U438))*(INT(MIN($AK438,$V438)/12)*(2*($V438/12)-INT(MIN($AK438,$V438)/12)+1)/2+MOD(MIN($AK438,$V438),12)/12*(($V438/12)-INT(MIN($AK438,$V438)/12)))/(($V438/12)*(($V438/12)+1)/2)),0))))),2))</f>
        <v/>
      </c>
      <c r="AM438" s="23">
        <f>IF($X438="","",$X438-$AL438)</f>
        <v/>
      </c>
      <c r="AN438" s="23">
        <f>IF(OR($AH438="",$Y438=""),"",N($AI438)-$Y438)</f>
        <v/>
      </c>
    </row>
    <row r="439">
      <c r="Q439" s="20" t="n"/>
      <c r="R439" s="20" t="n"/>
      <c r="S439" s="21" t="n"/>
      <c r="U439" s="21" t="n"/>
      <c r="V439" s="22" t="n"/>
      <c r="X439" s="23">
        <f>IF(OR($S439="",$R439=""),"",ROUND(MAX(0,IF($W439="Straight-line",IF(N($V439)&lt;=0,0,($S439-N($U439))*MIN($AJ439,$V439)/$V439),IF($W439="Reducing balance",MIN(($S439-N($U439)),$S439-$S439*(1-N($AG439))^INT($AJ439/12)*(1-N($AG439)*MOD($AJ439,12)/12)),IF($W439="DDB",IF(N($V439)&lt;=0,0,MIN(($S439-N($U439)),$S439-$S439*(1-MIN(1,24/$V439))^INT($AJ439/12)*(1-MIN(1,24/$V439)*MOD($AJ439,12)/12))),IF($W439="SYD",IF(N($V439)&lt;=0,0,($S439-N($U439))*(INT(MIN($AJ439,$V439)/12)*(2*($V439/12)-INT(MIN($AJ439,$V439)/12)+1)/2+MOD(MIN($AJ439,$V439),12)/12*(($V439/12)-INT(MIN($AJ439,$V439)/12)))/(($V439/12)*(($V439/12)+1)/2)),0))))),2))</f>
        <v/>
      </c>
      <c r="Y439" s="23">
        <f>IF($X439="","",$S439-$X439)</f>
        <v/>
      </c>
      <c r="AD439" s="20" t="n"/>
      <c r="AG439" s="24" t="n"/>
      <c r="AH439" s="20" t="n"/>
      <c r="AI439" s="21" t="n"/>
      <c r="AJ439" s="25">
        <f>IF($R439="","",IF($R439&gt;IF($AH439&lt;&gt;"",MIN($AH439,Settings!$B$3),Settings!$B$3),0,(YEAR(IF($AH439&lt;&gt;"",MIN($AH439,Settings!$B$3),Settings!$B$3))-YEAR($R439))*12+MONTH(IF($AH439&lt;&gt;"",MIN($AH439,Settings!$B$3),Settings!$B$3))-MONTH($R439)+1))</f>
        <v/>
      </c>
      <c r="AK439" s="25">
        <f>IF($R439="","",IF($R439&gt;MIN(Settings!$B$4-1,IF($AH439&lt;&gt;"",MIN($AH439,Settings!$B$3),Settings!$B$3)),0,(YEAR(MIN(Settings!$B$4-1,IF($AH439&lt;&gt;"",MIN($AH439,Settings!$B$3),Settings!$B$3)))-YEAR($R439))*12+MONTH(MIN(Settings!$B$4-1,IF($AH439&lt;&gt;"",MIN($AH439,Settings!$B$3),Settings!$B$3)))-MONTH($R439)+1))</f>
        <v/>
      </c>
      <c r="AL439" s="23">
        <f>IF(OR($S439="",$R439=""),"",ROUND(MAX(0,IF($W439="Straight-line",IF(N($V439)&lt;=0,0,($S439-N($U439))*MIN($AK439,$V439)/$V439),IF($W439="Reducing balance",MIN(($S439-N($U439)),$S439-$S439*(1-N($AG439))^INT($AK439/12)*(1-N($AG439)*MOD($AK439,12)/12)),IF($W439="DDB",IF(N($V439)&lt;=0,0,MIN(($S439-N($U439)),$S439-$S439*(1-MIN(1,24/$V439))^INT($AK439/12)*(1-MIN(1,24/$V439)*MOD($AK439,12)/12))),IF($W439="SYD",IF(N($V439)&lt;=0,0,($S439-N($U439))*(INT(MIN($AK439,$V439)/12)*(2*($V439/12)-INT(MIN($AK439,$V439)/12)+1)/2+MOD(MIN($AK439,$V439),12)/12*(($V439/12)-INT(MIN($AK439,$V439)/12)))/(($V439/12)*(($V439/12)+1)/2)),0))))),2))</f>
        <v/>
      </c>
      <c r="AM439" s="23">
        <f>IF($X439="","",$X439-$AL439)</f>
        <v/>
      </c>
      <c r="AN439" s="23">
        <f>IF(OR($AH439="",$Y439=""),"",N($AI439)-$Y439)</f>
        <v/>
      </c>
    </row>
    <row r="440">
      <c r="Q440" s="20" t="n"/>
      <c r="R440" s="20" t="n"/>
      <c r="S440" s="21" t="n"/>
      <c r="U440" s="21" t="n"/>
      <c r="V440" s="22" t="n"/>
      <c r="X440" s="23">
        <f>IF(OR($S440="",$R440=""),"",ROUND(MAX(0,IF($W440="Straight-line",IF(N($V440)&lt;=0,0,($S440-N($U440))*MIN($AJ440,$V440)/$V440),IF($W440="Reducing balance",MIN(($S440-N($U440)),$S440-$S440*(1-N($AG440))^INT($AJ440/12)*(1-N($AG440)*MOD($AJ440,12)/12)),IF($W440="DDB",IF(N($V440)&lt;=0,0,MIN(($S440-N($U440)),$S440-$S440*(1-MIN(1,24/$V440))^INT($AJ440/12)*(1-MIN(1,24/$V440)*MOD($AJ440,12)/12))),IF($W440="SYD",IF(N($V440)&lt;=0,0,($S440-N($U440))*(INT(MIN($AJ440,$V440)/12)*(2*($V440/12)-INT(MIN($AJ440,$V440)/12)+1)/2+MOD(MIN($AJ440,$V440),12)/12*(($V440/12)-INT(MIN($AJ440,$V440)/12)))/(($V440/12)*(($V440/12)+1)/2)),0))))),2))</f>
        <v/>
      </c>
      <c r="Y440" s="23">
        <f>IF($X440="","",$S440-$X440)</f>
        <v/>
      </c>
      <c r="AD440" s="20" t="n"/>
      <c r="AG440" s="24" t="n"/>
      <c r="AH440" s="20" t="n"/>
      <c r="AI440" s="21" t="n"/>
      <c r="AJ440" s="25">
        <f>IF($R440="","",IF($R440&gt;IF($AH440&lt;&gt;"",MIN($AH440,Settings!$B$3),Settings!$B$3),0,(YEAR(IF($AH440&lt;&gt;"",MIN($AH440,Settings!$B$3),Settings!$B$3))-YEAR($R440))*12+MONTH(IF($AH440&lt;&gt;"",MIN($AH440,Settings!$B$3),Settings!$B$3))-MONTH($R440)+1))</f>
        <v/>
      </c>
      <c r="AK440" s="25">
        <f>IF($R440="","",IF($R440&gt;MIN(Settings!$B$4-1,IF($AH440&lt;&gt;"",MIN($AH440,Settings!$B$3),Settings!$B$3)),0,(YEAR(MIN(Settings!$B$4-1,IF($AH440&lt;&gt;"",MIN($AH440,Settings!$B$3),Settings!$B$3)))-YEAR($R440))*12+MONTH(MIN(Settings!$B$4-1,IF($AH440&lt;&gt;"",MIN($AH440,Settings!$B$3),Settings!$B$3)))-MONTH($R440)+1))</f>
        <v/>
      </c>
      <c r="AL440" s="23">
        <f>IF(OR($S440="",$R440=""),"",ROUND(MAX(0,IF($W440="Straight-line",IF(N($V440)&lt;=0,0,($S440-N($U440))*MIN($AK440,$V440)/$V440),IF($W440="Reducing balance",MIN(($S440-N($U440)),$S440-$S440*(1-N($AG440))^INT($AK440/12)*(1-N($AG440)*MOD($AK440,12)/12)),IF($W440="DDB",IF(N($V440)&lt;=0,0,MIN(($S440-N($U440)),$S440-$S440*(1-MIN(1,24/$V440))^INT($AK440/12)*(1-MIN(1,24/$V440)*MOD($AK440,12)/12))),IF($W440="SYD",IF(N($V440)&lt;=0,0,($S440-N($U440))*(INT(MIN($AK440,$V440)/12)*(2*($V440/12)-INT(MIN($AK440,$V440)/12)+1)/2+MOD(MIN($AK440,$V440),12)/12*(($V440/12)-INT(MIN($AK440,$V440)/12)))/(($V440/12)*(($V440/12)+1)/2)),0))))),2))</f>
        <v/>
      </c>
      <c r="AM440" s="23">
        <f>IF($X440="","",$X440-$AL440)</f>
        <v/>
      </c>
      <c r="AN440" s="23">
        <f>IF(OR($AH440="",$Y440=""),"",N($AI440)-$Y440)</f>
        <v/>
      </c>
    </row>
    <row r="441">
      <c r="Q441" s="20" t="n"/>
      <c r="R441" s="20" t="n"/>
      <c r="S441" s="21" t="n"/>
      <c r="U441" s="21" t="n"/>
      <c r="V441" s="22" t="n"/>
      <c r="X441" s="23">
        <f>IF(OR($S441="",$R441=""),"",ROUND(MAX(0,IF($W441="Straight-line",IF(N($V441)&lt;=0,0,($S441-N($U441))*MIN($AJ441,$V441)/$V441),IF($W441="Reducing balance",MIN(($S441-N($U441)),$S441-$S441*(1-N($AG441))^INT($AJ441/12)*(1-N($AG441)*MOD($AJ441,12)/12)),IF($W441="DDB",IF(N($V441)&lt;=0,0,MIN(($S441-N($U441)),$S441-$S441*(1-MIN(1,24/$V441))^INT($AJ441/12)*(1-MIN(1,24/$V441)*MOD($AJ441,12)/12))),IF($W441="SYD",IF(N($V441)&lt;=0,0,($S441-N($U441))*(INT(MIN($AJ441,$V441)/12)*(2*($V441/12)-INT(MIN($AJ441,$V441)/12)+1)/2+MOD(MIN($AJ441,$V441),12)/12*(($V441/12)-INT(MIN($AJ441,$V441)/12)))/(($V441/12)*(($V441/12)+1)/2)),0))))),2))</f>
        <v/>
      </c>
      <c r="Y441" s="23">
        <f>IF($X441="","",$S441-$X441)</f>
        <v/>
      </c>
      <c r="AD441" s="20" t="n"/>
      <c r="AG441" s="24" t="n"/>
      <c r="AH441" s="20" t="n"/>
      <c r="AI441" s="21" t="n"/>
      <c r="AJ441" s="25">
        <f>IF($R441="","",IF($R441&gt;IF($AH441&lt;&gt;"",MIN($AH441,Settings!$B$3),Settings!$B$3),0,(YEAR(IF($AH441&lt;&gt;"",MIN($AH441,Settings!$B$3),Settings!$B$3))-YEAR($R441))*12+MONTH(IF($AH441&lt;&gt;"",MIN($AH441,Settings!$B$3),Settings!$B$3))-MONTH($R441)+1))</f>
        <v/>
      </c>
      <c r="AK441" s="25">
        <f>IF($R441="","",IF($R441&gt;MIN(Settings!$B$4-1,IF($AH441&lt;&gt;"",MIN($AH441,Settings!$B$3),Settings!$B$3)),0,(YEAR(MIN(Settings!$B$4-1,IF($AH441&lt;&gt;"",MIN($AH441,Settings!$B$3),Settings!$B$3)))-YEAR($R441))*12+MONTH(MIN(Settings!$B$4-1,IF($AH441&lt;&gt;"",MIN($AH441,Settings!$B$3),Settings!$B$3)))-MONTH($R441)+1))</f>
        <v/>
      </c>
      <c r="AL441" s="23">
        <f>IF(OR($S441="",$R441=""),"",ROUND(MAX(0,IF($W441="Straight-line",IF(N($V441)&lt;=0,0,($S441-N($U441))*MIN($AK441,$V441)/$V441),IF($W441="Reducing balance",MIN(($S441-N($U441)),$S441-$S441*(1-N($AG441))^INT($AK441/12)*(1-N($AG441)*MOD($AK441,12)/12)),IF($W441="DDB",IF(N($V441)&lt;=0,0,MIN(($S441-N($U441)),$S441-$S441*(1-MIN(1,24/$V441))^INT($AK441/12)*(1-MIN(1,24/$V441)*MOD($AK441,12)/12))),IF($W441="SYD",IF(N($V441)&lt;=0,0,($S441-N($U441))*(INT(MIN($AK441,$V441)/12)*(2*($V441/12)-INT(MIN($AK441,$V441)/12)+1)/2+MOD(MIN($AK441,$V441),12)/12*(($V441/12)-INT(MIN($AK441,$V441)/12)))/(($V441/12)*(($V441/12)+1)/2)),0))))),2))</f>
        <v/>
      </c>
      <c r="AM441" s="23">
        <f>IF($X441="","",$X441-$AL441)</f>
        <v/>
      </c>
      <c r="AN441" s="23">
        <f>IF(OR($AH441="",$Y441=""),"",N($AI441)-$Y441)</f>
        <v/>
      </c>
    </row>
    <row r="442">
      <c r="Q442" s="20" t="n"/>
      <c r="R442" s="20" t="n"/>
      <c r="S442" s="21" t="n"/>
      <c r="U442" s="21" t="n"/>
      <c r="V442" s="22" t="n"/>
      <c r="X442" s="23">
        <f>IF(OR($S442="",$R442=""),"",ROUND(MAX(0,IF($W442="Straight-line",IF(N($V442)&lt;=0,0,($S442-N($U442))*MIN($AJ442,$V442)/$V442),IF($W442="Reducing balance",MIN(($S442-N($U442)),$S442-$S442*(1-N($AG442))^INT($AJ442/12)*(1-N($AG442)*MOD($AJ442,12)/12)),IF($W442="DDB",IF(N($V442)&lt;=0,0,MIN(($S442-N($U442)),$S442-$S442*(1-MIN(1,24/$V442))^INT($AJ442/12)*(1-MIN(1,24/$V442)*MOD($AJ442,12)/12))),IF($W442="SYD",IF(N($V442)&lt;=0,0,($S442-N($U442))*(INT(MIN($AJ442,$V442)/12)*(2*($V442/12)-INT(MIN($AJ442,$V442)/12)+1)/2+MOD(MIN($AJ442,$V442),12)/12*(($V442/12)-INT(MIN($AJ442,$V442)/12)))/(($V442/12)*(($V442/12)+1)/2)),0))))),2))</f>
        <v/>
      </c>
      <c r="Y442" s="23">
        <f>IF($X442="","",$S442-$X442)</f>
        <v/>
      </c>
      <c r="AD442" s="20" t="n"/>
      <c r="AG442" s="24" t="n"/>
      <c r="AH442" s="20" t="n"/>
      <c r="AI442" s="21" t="n"/>
      <c r="AJ442" s="25">
        <f>IF($R442="","",IF($R442&gt;IF($AH442&lt;&gt;"",MIN($AH442,Settings!$B$3),Settings!$B$3),0,(YEAR(IF($AH442&lt;&gt;"",MIN($AH442,Settings!$B$3),Settings!$B$3))-YEAR($R442))*12+MONTH(IF($AH442&lt;&gt;"",MIN($AH442,Settings!$B$3),Settings!$B$3))-MONTH($R442)+1))</f>
        <v/>
      </c>
      <c r="AK442" s="25">
        <f>IF($R442="","",IF($R442&gt;MIN(Settings!$B$4-1,IF($AH442&lt;&gt;"",MIN($AH442,Settings!$B$3),Settings!$B$3)),0,(YEAR(MIN(Settings!$B$4-1,IF($AH442&lt;&gt;"",MIN($AH442,Settings!$B$3),Settings!$B$3)))-YEAR($R442))*12+MONTH(MIN(Settings!$B$4-1,IF($AH442&lt;&gt;"",MIN($AH442,Settings!$B$3),Settings!$B$3)))-MONTH($R442)+1))</f>
        <v/>
      </c>
      <c r="AL442" s="23">
        <f>IF(OR($S442="",$R442=""),"",ROUND(MAX(0,IF($W442="Straight-line",IF(N($V442)&lt;=0,0,($S442-N($U442))*MIN($AK442,$V442)/$V442),IF($W442="Reducing balance",MIN(($S442-N($U442)),$S442-$S442*(1-N($AG442))^INT($AK442/12)*(1-N($AG442)*MOD($AK442,12)/12)),IF($W442="DDB",IF(N($V442)&lt;=0,0,MIN(($S442-N($U442)),$S442-$S442*(1-MIN(1,24/$V442))^INT($AK442/12)*(1-MIN(1,24/$V442)*MOD($AK442,12)/12))),IF($W442="SYD",IF(N($V442)&lt;=0,0,($S442-N($U442))*(INT(MIN($AK442,$V442)/12)*(2*($V442/12)-INT(MIN($AK442,$V442)/12)+1)/2+MOD(MIN($AK442,$V442),12)/12*(($V442/12)-INT(MIN($AK442,$V442)/12)))/(($V442/12)*(($V442/12)+1)/2)),0))))),2))</f>
        <v/>
      </c>
      <c r="AM442" s="23">
        <f>IF($X442="","",$X442-$AL442)</f>
        <v/>
      </c>
      <c r="AN442" s="23">
        <f>IF(OR($AH442="",$Y442=""),"",N($AI442)-$Y442)</f>
        <v/>
      </c>
    </row>
    <row r="443">
      <c r="Q443" s="20" t="n"/>
      <c r="R443" s="20" t="n"/>
      <c r="S443" s="21" t="n"/>
      <c r="U443" s="21" t="n"/>
      <c r="V443" s="22" t="n"/>
      <c r="X443" s="23">
        <f>IF(OR($S443="",$R443=""),"",ROUND(MAX(0,IF($W443="Straight-line",IF(N($V443)&lt;=0,0,($S443-N($U443))*MIN($AJ443,$V443)/$V443),IF($W443="Reducing balance",MIN(($S443-N($U443)),$S443-$S443*(1-N($AG443))^INT($AJ443/12)*(1-N($AG443)*MOD($AJ443,12)/12)),IF($W443="DDB",IF(N($V443)&lt;=0,0,MIN(($S443-N($U443)),$S443-$S443*(1-MIN(1,24/$V443))^INT($AJ443/12)*(1-MIN(1,24/$V443)*MOD($AJ443,12)/12))),IF($W443="SYD",IF(N($V443)&lt;=0,0,($S443-N($U443))*(INT(MIN($AJ443,$V443)/12)*(2*($V443/12)-INT(MIN($AJ443,$V443)/12)+1)/2+MOD(MIN($AJ443,$V443),12)/12*(($V443/12)-INT(MIN($AJ443,$V443)/12)))/(($V443/12)*(($V443/12)+1)/2)),0))))),2))</f>
        <v/>
      </c>
      <c r="Y443" s="23">
        <f>IF($X443="","",$S443-$X443)</f>
        <v/>
      </c>
      <c r="AD443" s="20" t="n"/>
      <c r="AG443" s="24" t="n"/>
      <c r="AH443" s="20" t="n"/>
      <c r="AI443" s="21" t="n"/>
      <c r="AJ443" s="25">
        <f>IF($R443="","",IF($R443&gt;IF($AH443&lt;&gt;"",MIN($AH443,Settings!$B$3),Settings!$B$3),0,(YEAR(IF($AH443&lt;&gt;"",MIN($AH443,Settings!$B$3),Settings!$B$3))-YEAR($R443))*12+MONTH(IF($AH443&lt;&gt;"",MIN($AH443,Settings!$B$3),Settings!$B$3))-MONTH($R443)+1))</f>
        <v/>
      </c>
      <c r="AK443" s="25">
        <f>IF($R443="","",IF($R443&gt;MIN(Settings!$B$4-1,IF($AH443&lt;&gt;"",MIN($AH443,Settings!$B$3),Settings!$B$3)),0,(YEAR(MIN(Settings!$B$4-1,IF($AH443&lt;&gt;"",MIN($AH443,Settings!$B$3),Settings!$B$3)))-YEAR($R443))*12+MONTH(MIN(Settings!$B$4-1,IF($AH443&lt;&gt;"",MIN($AH443,Settings!$B$3),Settings!$B$3)))-MONTH($R443)+1))</f>
        <v/>
      </c>
      <c r="AL443" s="23">
        <f>IF(OR($S443="",$R443=""),"",ROUND(MAX(0,IF($W443="Straight-line",IF(N($V443)&lt;=0,0,($S443-N($U443))*MIN($AK443,$V443)/$V443),IF($W443="Reducing balance",MIN(($S443-N($U443)),$S443-$S443*(1-N($AG443))^INT($AK443/12)*(1-N($AG443)*MOD($AK443,12)/12)),IF($W443="DDB",IF(N($V443)&lt;=0,0,MIN(($S443-N($U443)),$S443-$S443*(1-MIN(1,24/$V443))^INT($AK443/12)*(1-MIN(1,24/$V443)*MOD($AK443,12)/12))),IF($W443="SYD",IF(N($V443)&lt;=0,0,($S443-N($U443))*(INT(MIN($AK443,$V443)/12)*(2*($V443/12)-INT(MIN($AK443,$V443)/12)+1)/2+MOD(MIN($AK443,$V443),12)/12*(($V443/12)-INT(MIN($AK443,$V443)/12)))/(($V443/12)*(($V443/12)+1)/2)),0))))),2))</f>
        <v/>
      </c>
      <c r="AM443" s="23">
        <f>IF($X443="","",$X443-$AL443)</f>
        <v/>
      </c>
      <c r="AN443" s="23">
        <f>IF(OR($AH443="",$Y443=""),"",N($AI443)-$Y443)</f>
        <v/>
      </c>
    </row>
    <row r="444">
      <c r="Q444" s="20" t="n"/>
      <c r="R444" s="20" t="n"/>
      <c r="S444" s="21" t="n"/>
      <c r="U444" s="21" t="n"/>
      <c r="V444" s="22" t="n"/>
      <c r="X444" s="23">
        <f>IF(OR($S444="",$R444=""),"",ROUND(MAX(0,IF($W444="Straight-line",IF(N($V444)&lt;=0,0,($S444-N($U444))*MIN($AJ444,$V444)/$V444),IF($W444="Reducing balance",MIN(($S444-N($U444)),$S444-$S444*(1-N($AG444))^INT($AJ444/12)*(1-N($AG444)*MOD($AJ444,12)/12)),IF($W444="DDB",IF(N($V444)&lt;=0,0,MIN(($S444-N($U444)),$S444-$S444*(1-MIN(1,24/$V444))^INT($AJ444/12)*(1-MIN(1,24/$V444)*MOD($AJ444,12)/12))),IF($W444="SYD",IF(N($V444)&lt;=0,0,($S444-N($U444))*(INT(MIN($AJ444,$V444)/12)*(2*($V444/12)-INT(MIN($AJ444,$V444)/12)+1)/2+MOD(MIN($AJ444,$V444),12)/12*(($V444/12)-INT(MIN($AJ444,$V444)/12)))/(($V444/12)*(($V444/12)+1)/2)),0))))),2))</f>
        <v/>
      </c>
      <c r="Y444" s="23">
        <f>IF($X444="","",$S444-$X444)</f>
        <v/>
      </c>
      <c r="AD444" s="20" t="n"/>
      <c r="AG444" s="24" t="n"/>
      <c r="AH444" s="20" t="n"/>
      <c r="AI444" s="21" t="n"/>
      <c r="AJ444" s="25">
        <f>IF($R444="","",IF($R444&gt;IF($AH444&lt;&gt;"",MIN($AH444,Settings!$B$3),Settings!$B$3),0,(YEAR(IF($AH444&lt;&gt;"",MIN($AH444,Settings!$B$3),Settings!$B$3))-YEAR($R444))*12+MONTH(IF($AH444&lt;&gt;"",MIN($AH444,Settings!$B$3),Settings!$B$3))-MONTH($R444)+1))</f>
        <v/>
      </c>
      <c r="AK444" s="25">
        <f>IF($R444="","",IF($R444&gt;MIN(Settings!$B$4-1,IF($AH444&lt;&gt;"",MIN($AH444,Settings!$B$3),Settings!$B$3)),0,(YEAR(MIN(Settings!$B$4-1,IF($AH444&lt;&gt;"",MIN($AH444,Settings!$B$3),Settings!$B$3)))-YEAR($R444))*12+MONTH(MIN(Settings!$B$4-1,IF($AH444&lt;&gt;"",MIN($AH444,Settings!$B$3),Settings!$B$3)))-MONTH($R444)+1))</f>
        <v/>
      </c>
      <c r="AL444" s="23">
        <f>IF(OR($S444="",$R444=""),"",ROUND(MAX(0,IF($W444="Straight-line",IF(N($V444)&lt;=0,0,($S444-N($U444))*MIN($AK444,$V444)/$V444),IF($W444="Reducing balance",MIN(($S444-N($U444)),$S444-$S444*(1-N($AG444))^INT($AK444/12)*(1-N($AG444)*MOD($AK444,12)/12)),IF($W444="DDB",IF(N($V444)&lt;=0,0,MIN(($S444-N($U444)),$S444-$S444*(1-MIN(1,24/$V444))^INT($AK444/12)*(1-MIN(1,24/$V444)*MOD($AK444,12)/12))),IF($W444="SYD",IF(N($V444)&lt;=0,0,($S444-N($U444))*(INT(MIN($AK444,$V444)/12)*(2*($V444/12)-INT(MIN($AK444,$V444)/12)+1)/2+MOD(MIN($AK444,$V444),12)/12*(($V444/12)-INT(MIN($AK444,$V444)/12)))/(($V444/12)*(($V444/12)+1)/2)),0))))),2))</f>
        <v/>
      </c>
      <c r="AM444" s="23">
        <f>IF($X444="","",$X444-$AL444)</f>
        <v/>
      </c>
      <c r="AN444" s="23">
        <f>IF(OR($AH444="",$Y444=""),"",N($AI444)-$Y444)</f>
        <v/>
      </c>
    </row>
    <row r="445">
      <c r="Q445" s="20" t="n"/>
      <c r="R445" s="20" t="n"/>
      <c r="S445" s="21" t="n"/>
      <c r="U445" s="21" t="n"/>
      <c r="V445" s="22" t="n"/>
      <c r="X445" s="23">
        <f>IF(OR($S445="",$R445=""),"",ROUND(MAX(0,IF($W445="Straight-line",IF(N($V445)&lt;=0,0,($S445-N($U445))*MIN($AJ445,$V445)/$V445),IF($W445="Reducing balance",MIN(($S445-N($U445)),$S445-$S445*(1-N($AG445))^INT($AJ445/12)*(1-N($AG445)*MOD($AJ445,12)/12)),IF($W445="DDB",IF(N($V445)&lt;=0,0,MIN(($S445-N($U445)),$S445-$S445*(1-MIN(1,24/$V445))^INT($AJ445/12)*(1-MIN(1,24/$V445)*MOD($AJ445,12)/12))),IF($W445="SYD",IF(N($V445)&lt;=0,0,($S445-N($U445))*(INT(MIN($AJ445,$V445)/12)*(2*($V445/12)-INT(MIN($AJ445,$V445)/12)+1)/2+MOD(MIN($AJ445,$V445),12)/12*(($V445/12)-INT(MIN($AJ445,$V445)/12)))/(($V445/12)*(($V445/12)+1)/2)),0))))),2))</f>
        <v/>
      </c>
      <c r="Y445" s="23">
        <f>IF($X445="","",$S445-$X445)</f>
        <v/>
      </c>
      <c r="AD445" s="20" t="n"/>
      <c r="AG445" s="24" t="n"/>
      <c r="AH445" s="20" t="n"/>
      <c r="AI445" s="21" t="n"/>
      <c r="AJ445" s="25">
        <f>IF($R445="","",IF($R445&gt;IF($AH445&lt;&gt;"",MIN($AH445,Settings!$B$3),Settings!$B$3),0,(YEAR(IF($AH445&lt;&gt;"",MIN($AH445,Settings!$B$3),Settings!$B$3))-YEAR($R445))*12+MONTH(IF($AH445&lt;&gt;"",MIN($AH445,Settings!$B$3),Settings!$B$3))-MONTH($R445)+1))</f>
        <v/>
      </c>
      <c r="AK445" s="25">
        <f>IF($R445="","",IF($R445&gt;MIN(Settings!$B$4-1,IF($AH445&lt;&gt;"",MIN($AH445,Settings!$B$3),Settings!$B$3)),0,(YEAR(MIN(Settings!$B$4-1,IF($AH445&lt;&gt;"",MIN($AH445,Settings!$B$3),Settings!$B$3)))-YEAR($R445))*12+MONTH(MIN(Settings!$B$4-1,IF($AH445&lt;&gt;"",MIN($AH445,Settings!$B$3),Settings!$B$3)))-MONTH($R445)+1))</f>
        <v/>
      </c>
      <c r="AL445" s="23">
        <f>IF(OR($S445="",$R445=""),"",ROUND(MAX(0,IF($W445="Straight-line",IF(N($V445)&lt;=0,0,($S445-N($U445))*MIN($AK445,$V445)/$V445),IF($W445="Reducing balance",MIN(($S445-N($U445)),$S445-$S445*(1-N($AG445))^INT($AK445/12)*(1-N($AG445)*MOD($AK445,12)/12)),IF($W445="DDB",IF(N($V445)&lt;=0,0,MIN(($S445-N($U445)),$S445-$S445*(1-MIN(1,24/$V445))^INT($AK445/12)*(1-MIN(1,24/$V445)*MOD($AK445,12)/12))),IF($W445="SYD",IF(N($V445)&lt;=0,0,($S445-N($U445))*(INT(MIN($AK445,$V445)/12)*(2*($V445/12)-INT(MIN($AK445,$V445)/12)+1)/2+MOD(MIN($AK445,$V445),12)/12*(($V445/12)-INT(MIN($AK445,$V445)/12)))/(($V445/12)*(($V445/12)+1)/2)),0))))),2))</f>
        <v/>
      </c>
      <c r="AM445" s="23">
        <f>IF($X445="","",$X445-$AL445)</f>
        <v/>
      </c>
      <c r="AN445" s="23">
        <f>IF(OR($AH445="",$Y445=""),"",N($AI445)-$Y445)</f>
        <v/>
      </c>
    </row>
    <row r="446">
      <c r="Q446" s="20" t="n"/>
      <c r="R446" s="20" t="n"/>
      <c r="S446" s="21" t="n"/>
      <c r="U446" s="21" t="n"/>
      <c r="V446" s="22" t="n"/>
      <c r="X446" s="23">
        <f>IF(OR($S446="",$R446=""),"",ROUND(MAX(0,IF($W446="Straight-line",IF(N($V446)&lt;=0,0,($S446-N($U446))*MIN($AJ446,$V446)/$V446),IF($W446="Reducing balance",MIN(($S446-N($U446)),$S446-$S446*(1-N($AG446))^INT($AJ446/12)*(1-N($AG446)*MOD($AJ446,12)/12)),IF($W446="DDB",IF(N($V446)&lt;=0,0,MIN(($S446-N($U446)),$S446-$S446*(1-MIN(1,24/$V446))^INT($AJ446/12)*(1-MIN(1,24/$V446)*MOD($AJ446,12)/12))),IF($W446="SYD",IF(N($V446)&lt;=0,0,($S446-N($U446))*(INT(MIN($AJ446,$V446)/12)*(2*($V446/12)-INT(MIN($AJ446,$V446)/12)+1)/2+MOD(MIN($AJ446,$V446),12)/12*(($V446/12)-INT(MIN($AJ446,$V446)/12)))/(($V446/12)*(($V446/12)+1)/2)),0))))),2))</f>
        <v/>
      </c>
      <c r="Y446" s="23">
        <f>IF($X446="","",$S446-$X446)</f>
        <v/>
      </c>
      <c r="AD446" s="20" t="n"/>
      <c r="AG446" s="24" t="n"/>
      <c r="AH446" s="20" t="n"/>
      <c r="AI446" s="21" t="n"/>
      <c r="AJ446" s="25">
        <f>IF($R446="","",IF($R446&gt;IF($AH446&lt;&gt;"",MIN($AH446,Settings!$B$3),Settings!$B$3),0,(YEAR(IF($AH446&lt;&gt;"",MIN($AH446,Settings!$B$3),Settings!$B$3))-YEAR($R446))*12+MONTH(IF($AH446&lt;&gt;"",MIN($AH446,Settings!$B$3),Settings!$B$3))-MONTH($R446)+1))</f>
        <v/>
      </c>
      <c r="AK446" s="25">
        <f>IF($R446="","",IF($R446&gt;MIN(Settings!$B$4-1,IF($AH446&lt;&gt;"",MIN($AH446,Settings!$B$3),Settings!$B$3)),0,(YEAR(MIN(Settings!$B$4-1,IF($AH446&lt;&gt;"",MIN($AH446,Settings!$B$3),Settings!$B$3)))-YEAR($R446))*12+MONTH(MIN(Settings!$B$4-1,IF($AH446&lt;&gt;"",MIN($AH446,Settings!$B$3),Settings!$B$3)))-MONTH($R446)+1))</f>
        <v/>
      </c>
      <c r="AL446" s="23">
        <f>IF(OR($S446="",$R446=""),"",ROUND(MAX(0,IF($W446="Straight-line",IF(N($V446)&lt;=0,0,($S446-N($U446))*MIN($AK446,$V446)/$V446),IF($W446="Reducing balance",MIN(($S446-N($U446)),$S446-$S446*(1-N($AG446))^INT($AK446/12)*(1-N($AG446)*MOD($AK446,12)/12)),IF($W446="DDB",IF(N($V446)&lt;=0,0,MIN(($S446-N($U446)),$S446-$S446*(1-MIN(1,24/$V446))^INT($AK446/12)*(1-MIN(1,24/$V446)*MOD($AK446,12)/12))),IF($W446="SYD",IF(N($V446)&lt;=0,0,($S446-N($U446))*(INT(MIN($AK446,$V446)/12)*(2*($V446/12)-INT(MIN($AK446,$V446)/12)+1)/2+MOD(MIN($AK446,$V446),12)/12*(($V446/12)-INT(MIN($AK446,$V446)/12)))/(($V446/12)*(($V446/12)+1)/2)),0))))),2))</f>
        <v/>
      </c>
      <c r="AM446" s="23">
        <f>IF($X446="","",$X446-$AL446)</f>
        <v/>
      </c>
      <c r="AN446" s="23">
        <f>IF(OR($AH446="",$Y446=""),"",N($AI446)-$Y446)</f>
        <v/>
      </c>
    </row>
    <row r="447">
      <c r="Q447" s="20" t="n"/>
      <c r="R447" s="20" t="n"/>
      <c r="S447" s="21" t="n"/>
      <c r="U447" s="21" t="n"/>
      <c r="V447" s="22" t="n"/>
      <c r="X447" s="23">
        <f>IF(OR($S447="",$R447=""),"",ROUND(MAX(0,IF($W447="Straight-line",IF(N($V447)&lt;=0,0,($S447-N($U447))*MIN($AJ447,$V447)/$V447),IF($W447="Reducing balance",MIN(($S447-N($U447)),$S447-$S447*(1-N($AG447))^INT($AJ447/12)*(1-N($AG447)*MOD($AJ447,12)/12)),IF($W447="DDB",IF(N($V447)&lt;=0,0,MIN(($S447-N($U447)),$S447-$S447*(1-MIN(1,24/$V447))^INT($AJ447/12)*(1-MIN(1,24/$V447)*MOD($AJ447,12)/12))),IF($W447="SYD",IF(N($V447)&lt;=0,0,($S447-N($U447))*(INT(MIN($AJ447,$V447)/12)*(2*($V447/12)-INT(MIN($AJ447,$V447)/12)+1)/2+MOD(MIN($AJ447,$V447),12)/12*(($V447/12)-INT(MIN($AJ447,$V447)/12)))/(($V447/12)*(($V447/12)+1)/2)),0))))),2))</f>
        <v/>
      </c>
      <c r="Y447" s="23">
        <f>IF($X447="","",$S447-$X447)</f>
        <v/>
      </c>
      <c r="AD447" s="20" t="n"/>
      <c r="AG447" s="24" t="n"/>
      <c r="AH447" s="20" t="n"/>
      <c r="AI447" s="21" t="n"/>
      <c r="AJ447" s="25">
        <f>IF($R447="","",IF($R447&gt;IF($AH447&lt;&gt;"",MIN($AH447,Settings!$B$3),Settings!$B$3),0,(YEAR(IF($AH447&lt;&gt;"",MIN($AH447,Settings!$B$3),Settings!$B$3))-YEAR($R447))*12+MONTH(IF($AH447&lt;&gt;"",MIN($AH447,Settings!$B$3),Settings!$B$3))-MONTH($R447)+1))</f>
        <v/>
      </c>
      <c r="AK447" s="25">
        <f>IF($R447="","",IF($R447&gt;MIN(Settings!$B$4-1,IF($AH447&lt;&gt;"",MIN($AH447,Settings!$B$3),Settings!$B$3)),0,(YEAR(MIN(Settings!$B$4-1,IF($AH447&lt;&gt;"",MIN($AH447,Settings!$B$3),Settings!$B$3)))-YEAR($R447))*12+MONTH(MIN(Settings!$B$4-1,IF($AH447&lt;&gt;"",MIN($AH447,Settings!$B$3),Settings!$B$3)))-MONTH($R447)+1))</f>
        <v/>
      </c>
      <c r="AL447" s="23">
        <f>IF(OR($S447="",$R447=""),"",ROUND(MAX(0,IF($W447="Straight-line",IF(N($V447)&lt;=0,0,($S447-N($U447))*MIN($AK447,$V447)/$V447),IF($W447="Reducing balance",MIN(($S447-N($U447)),$S447-$S447*(1-N($AG447))^INT($AK447/12)*(1-N($AG447)*MOD($AK447,12)/12)),IF($W447="DDB",IF(N($V447)&lt;=0,0,MIN(($S447-N($U447)),$S447-$S447*(1-MIN(1,24/$V447))^INT($AK447/12)*(1-MIN(1,24/$V447)*MOD($AK447,12)/12))),IF($W447="SYD",IF(N($V447)&lt;=0,0,($S447-N($U447))*(INT(MIN($AK447,$V447)/12)*(2*($V447/12)-INT(MIN($AK447,$V447)/12)+1)/2+MOD(MIN($AK447,$V447),12)/12*(($V447/12)-INT(MIN($AK447,$V447)/12)))/(($V447/12)*(($V447/12)+1)/2)),0))))),2))</f>
        <v/>
      </c>
      <c r="AM447" s="23">
        <f>IF($X447="","",$X447-$AL447)</f>
        <v/>
      </c>
      <c r="AN447" s="23">
        <f>IF(OR($AH447="",$Y447=""),"",N($AI447)-$Y447)</f>
        <v/>
      </c>
    </row>
    <row r="448">
      <c r="Q448" s="20" t="n"/>
      <c r="R448" s="20" t="n"/>
      <c r="S448" s="21" t="n"/>
      <c r="U448" s="21" t="n"/>
      <c r="V448" s="22" t="n"/>
      <c r="X448" s="23">
        <f>IF(OR($S448="",$R448=""),"",ROUND(MAX(0,IF($W448="Straight-line",IF(N($V448)&lt;=0,0,($S448-N($U448))*MIN($AJ448,$V448)/$V448),IF($W448="Reducing balance",MIN(($S448-N($U448)),$S448-$S448*(1-N($AG448))^INT($AJ448/12)*(1-N($AG448)*MOD($AJ448,12)/12)),IF($W448="DDB",IF(N($V448)&lt;=0,0,MIN(($S448-N($U448)),$S448-$S448*(1-MIN(1,24/$V448))^INT($AJ448/12)*(1-MIN(1,24/$V448)*MOD($AJ448,12)/12))),IF($W448="SYD",IF(N($V448)&lt;=0,0,($S448-N($U448))*(INT(MIN($AJ448,$V448)/12)*(2*($V448/12)-INT(MIN($AJ448,$V448)/12)+1)/2+MOD(MIN($AJ448,$V448),12)/12*(($V448/12)-INT(MIN($AJ448,$V448)/12)))/(($V448/12)*(($V448/12)+1)/2)),0))))),2))</f>
        <v/>
      </c>
      <c r="Y448" s="23">
        <f>IF($X448="","",$S448-$X448)</f>
        <v/>
      </c>
      <c r="AD448" s="20" t="n"/>
      <c r="AG448" s="24" t="n"/>
      <c r="AH448" s="20" t="n"/>
      <c r="AI448" s="21" t="n"/>
      <c r="AJ448" s="25">
        <f>IF($R448="","",IF($R448&gt;IF($AH448&lt;&gt;"",MIN($AH448,Settings!$B$3),Settings!$B$3),0,(YEAR(IF($AH448&lt;&gt;"",MIN($AH448,Settings!$B$3),Settings!$B$3))-YEAR($R448))*12+MONTH(IF($AH448&lt;&gt;"",MIN($AH448,Settings!$B$3),Settings!$B$3))-MONTH($R448)+1))</f>
        <v/>
      </c>
      <c r="AK448" s="25">
        <f>IF($R448="","",IF($R448&gt;MIN(Settings!$B$4-1,IF($AH448&lt;&gt;"",MIN($AH448,Settings!$B$3),Settings!$B$3)),0,(YEAR(MIN(Settings!$B$4-1,IF($AH448&lt;&gt;"",MIN($AH448,Settings!$B$3),Settings!$B$3)))-YEAR($R448))*12+MONTH(MIN(Settings!$B$4-1,IF($AH448&lt;&gt;"",MIN($AH448,Settings!$B$3),Settings!$B$3)))-MONTH($R448)+1))</f>
        <v/>
      </c>
      <c r="AL448" s="23">
        <f>IF(OR($S448="",$R448=""),"",ROUND(MAX(0,IF($W448="Straight-line",IF(N($V448)&lt;=0,0,($S448-N($U448))*MIN($AK448,$V448)/$V448),IF($W448="Reducing balance",MIN(($S448-N($U448)),$S448-$S448*(1-N($AG448))^INT($AK448/12)*(1-N($AG448)*MOD($AK448,12)/12)),IF($W448="DDB",IF(N($V448)&lt;=0,0,MIN(($S448-N($U448)),$S448-$S448*(1-MIN(1,24/$V448))^INT($AK448/12)*(1-MIN(1,24/$V448)*MOD($AK448,12)/12))),IF($W448="SYD",IF(N($V448)&lt;=0,0,($S448-N($U448))*(INT(MIN($AK448,$V448)/12)*(2*($V448/12)-INT(MIN($AK448,$V448)/12)+1)/2+MOD(MIN($AK448,$V448),12)/12*(($V448/12)-INT(MIN($AK448,$V448)/12)))/(($V448/12)*(($V448/12)+1)/2)),0))))),2))</f>
        <v/>
      </c>
      <c r="AM448" s="23">
        <f>IF($X448="","",$X448-$AL448)</f>
        <v/>
      </c>
      <c r="AN448" s="23">
        <f>IF(OR($AH448="",$Y448=""),"",N($AI448)-$Y448)</f>
        <v/>
      </c>
    </row>
    <row r="449">
      <c r="Q449" s="20" t="n"/>
      <c r="R449" s="20" t="n"/>
      <c r="S449" s="21" t="n"/>
      <c r="U449" s="21" t="n"/>
      <c r="V449" s="22" t="n"/>
      <c r="X449" s="23">
        <f>IF(OR($S449="",$R449=""),"",ROUND(MAX(0,IF($W449="Straight-line",IF(N($V449)&lt;=0,0,($S449-N($U449))*MIN($AJ449,$V449)/$V449),IF($W449="Reducing balance",MIN(($S449-N($U449)),$S449-$S449*(1-N($AG449))^INT($AJ449/12)*(1-N($AG449)*MOD($AJ449,12)/12)),IF($W449="DDB",IF(N($V449)&lt;=0,0,MIN(($S449-N($U449)),$S449-$S449*(1-MIN(1,24/$V449))^INT($AJ449/12)*(1-MIN(1,24/$V449)*MOD($AJ449,12)/12))),IF($W449="SYD",IF(N($V449)&lt;=0,0,($S449-N($U449))*(INT(MIN($AJ449,$V449)/12)*(2*($V449/12)-INT(MIN($AJ449,$V449)/12)+1)/2+MOD(MIN($AJ449,$V449),12)/12*(($V449/12)-INT(MIN($AJ449,$V449)/12)))/(($V449/12)*(($V449/12)+1)/2)),0))))),2))</f>
        <v/>
      </c>
      <c r="Y449" s="23">
        <f>IF($X449="","",$S449-$X449)</f>
        <v/>
      </c>
      <c r="AD449" s="20" t="n"/>
      <c r="AG449" s="24" t="n"/>
      <c r="AH449" s="20" t="n"/>
      <c r="AI449" s="21" t="n"/>
      <c r="AJ449" s="25">
        <f>IF($R449="","",IF($R449&gt;IF($AH449&lt;&gt;"",MIN($AH449,Settings!$B$3),Settings!$B$3),0,(YEAR(IF($AH449&lt;&gt;"",MIN($AH449,Settings!$B$3),Settings!$B$3))-YEAR($R449))*12+MONTH(IF($AH449&lt;&gt;"",MIN($AH449,Settings!$B$3),Settings!$B$3))-MONTH($R449)+1))</f>
        <v/>
      </c>
      <c r="AK449" s="25">
        <f>IF($R449="","",IF($R449&gt;MIN(Settings!$B$4-1,IF($AH449&lt;&gt;"",MIN($AH449,Settings!$B$3),Settings!$B$3)),0,(YEAR(MIN(Settings!$B$4-1,IF($AH449&lt;&gt;"",MIN($AH449,Settings!$B$3),Settings!$B$3)))-YEAR($R449))*12+MONTH(MIN(Settings!$B$4-1,IF($AH449&lt;&gt;"",MIN($AH449,Settings!$B$3),Settings!$B$3)))-MONTH($R449)+1))</f>
        <v/>
      </c>
      <c r="AL449" s="23">
        <f>IF(OR($S449="",$R449=""),"",ROUND(MAX(0,IF($W449="Straight-line",IF(N($V449)&lt;=0,0,($S449-N($U449))*MIN($AK449,$V449)/$V449),IF($W449="Reducing balance",MIN(($S449-N($U449)),$S449-$S449*(1-N($AG449))^INT($AK449/12)*(1-N($AG449)*MOD($AK449,12)/12)),IF($W449="DDB",IF(N($V449)&lt;=0,0,MIN(($S449-N($U449)),$S449-$S449*(1-MIN(1,24/$V449))^INT($AK449/12)*(1-MIN(1,24/$V449)*MOD($AK449,12)/12))),IF($W449="SYD",IF(N($V449)&lt;=0,0,($S449-N($U449))*(INT(MIN($AK449,$V449)/12)*(2*($V449/12)-INT(MIN($AK449,$V449)/12)+1)/2+MOD(MIN($AK449,$V449),12)/12*(($V449/12)-INT(MIN($AK449,$V449)/12)))/(($V449/12)*(($V449/12)+1)/2)),0))))),2))</f>
        <v/>
      </c>
      <c r="AM449" s="23">
        <f>IF($X449="","",$X449-$AL449)</f>
        <v/>
      </c>
      <c r="AN449" s="23">
        <f>IF(OR($AH449="",$Y449=""),"",N($AI449)-$Y449)</f>
        <v/>
      </c>
    </row>
    <row r="450">
      <c r="Q450" s="20" t="n"/>
      <c r="R450" s="20" t="n"/>
      <c r="S450" s="21" t="n"/>
      <c r="U450" s="21" t="n"/>
      <c r="V450" s="22" t="n"/>
      <c r="X450" s="23">
        <f>IF(OR($S450="",$R450=""),"",ROUND(MAX(0,IF($W450="Straight-line",IF(N($V450)&lt;=0,0,($S450-N($U450))*MIN($AJ450,$V450)/$V450),IF($W450="Reducing balance",MIN(($S450-N($U450)),$S450-$S450*(1-N($AG450))^INT($AJ450/12)*(1-N($AG450)*MOD($AJ450,12)/12)),IF($W450="DDB",IF(N($V450)&lt;=0,0,MIN(($S450-N($U450)),$S450-$S450*(1-MIN(1,24/$V450))^INT($AJ450/12)*(1-MIN(1,24/$V450)*MOD($AJ450,12)/12))),IF($W450="SYD",IF(N($V450)&lt;=0,0,($S450-N($U450))*(INT(MIN($AJ450,$V450)/12)*(2*($V450/12)-INT(MIN($AJ450,$V450)/12)+1)/2+MOD(MIN($AJ450,$V450),12)/12*(($V450/12)-INT(MIN($AJ450,$V450)/12)))/(($V450/12)*(($V450/12)+1)/2)),0))))),2))</f>
        <v/>
      </c>
      <c r="Y450" s="23">
        <f>IF($X450="","",$S450-$X450)</f>
        <v/>
      </c>
      <c r="AD450" s="20" t="n"/>
      <c r="AG450" s="24" t="n"/>
      <c r="AH450" s="20" t="n"/>
      <c r="AI450" s="21" t="n"/>
      <c r="AJ450" s="25">
        <f>IF($R450="","",IF($R450&gt;IF($AH450&lt;&gt;"",MIN($AH450,Settings!$B$3),Settings!$B$3),0,(YEAR(IF($AH450&lt;&gt;"",MIN($AH450,Settings!$B$3),Settings!$B$3))-YEAR($R450))*12+MONTH(IF($AH450&lt;&gt;"",MIN($AH450,Settings!$B$3),Settings!$B$3))-MONTH($R450)+1))</f>
        <v/>
      </c>
      <c r="AK450" s="25">
        <f>IF($R450="","",IF($R450&gt;MIN(Settings!$B$4-1,IF($AH450&lt;&gt;"",MIN($AH450,Settings!$B$3),Settings!$B$3)),0,(YEAR(MIN(Settings!$B$4-1,IF($AH450&lt;&gt;"",MIN($AH450,Settings!$B$3),Settings!$B$3)))-YEAR($R450))*12+MONTH(MIN(Settings!$B$4-1,IF($AH450&lt;&gt;"",MIN($AH450,Settings!$B$3),Settings!$B$3)))-MONTH($R450)+1))</f>
        <v/>
      </c>
      <c r="AL450" s="23">
        <f>IF(OR($S450="",$R450=""),"",ROUND(MAX(0,IF($W450="Straight-line",IF(N($V450)&lt;=0,0,($S450-N($U450))*MIN($AK450,$V450)/$V450),IF($W450="Reducing balance",MIN(($S450-N($U450)),$S450-$S450*(1-N($AG450))^INT($AK450/12)*(1-N($AG450)*MOD($AK450,12)/12)),IF($W450="DDB",IF(N($V450)&lt;=0,0,MIN(($S450-N($U450)),$S450-$S450*(1-MIN(1,24/$V450))^INT($AK450/12)*(1-MIN(1,24/$V450)*MOD($AK450,12)/12))),IF($W450="SYD",IF(N($V450)&lt;=0,0,($S450-N($U450))*(INT(MIN($AK450,$V450)/12)*(2*($V450/12)-INT(MIN($AK450,$V450)/12)+1)/2+MOD(MIN($AK450,$V450),12)/12*(($V450/12)-INT(MIN($AK450,$V450)/12)))/(($V450/12)*(($V450/12)+1)/2)),0))))),2))</f>
        <v/>
      </c>
      <c r="AM450" s="23">
        <f>IF($X450="","",$X450-$AL450)</f>
        <v/>
      </c>
      <c r="AN450" s="23">
        <f>IF(OR($AH450="",$Y450=""),"",N($AI450)-$Y450)</f>
        <v/>
      </c>
    </row>
    <row r="451">
      <c r="Q451" s="20" t="n"/>
      <c r="R451" s="20" t="n"/>
      <c r="S451" s="21" t="n"/>
      <c r="U451" s="21" t="n"/>
      <c r="V451" s="22" t="n"/>
      <c r="X451" s="23">
        <f>IF(OR($S451="",$R451=""),"",ROUND(MAX(0,IF($W451="Straight-line",IF(N($V451)&lt;=0,0,($S451-N($U451))*MIN($AJ451,$V451)/$V451),IF($W451="Reducing balance",MIN(($S451-N($U451)),$S451-$S451*(1-N($AG451))^INT($AJ451/12)*(1-N($AG451)*MOD($AJ451,12)/12)),IF($W451="DDB",IF(N($V451)&lt;=0,0,MIN(($S451-N($U451)),$S451-$S451*(1-MIN(1,24/$V451))^INT($AJ451/12)*(1-MIN(1,24/$V451)*MOD($AJ451,12)/12))),IF($W451="SYD",IF(N($V451)&lt;=0,0,($S451-N($U451))*(INT(MIN($AJ451,$V451)/12)*(2*($V451/12)-INT(MIN($AJ451,$V451)/12)+1)/2+MOD(MIN($AJ451,$V451),12)/12*(($V451/12)-INT(MIN($AJ451,$V451)/12)))/(($V451/12)*(($V451/12)+1)/2)),0))))),2))</f>
        <v/>
      </c>
      <c r="Y451" s="23">
        <f>IF($X451="","",$S451-$X451)</f>
        <v/>
      </c>
      <c r="AD451" s="20" t="n"/>
      <c r="AG451" s="24" t="n"/>
      <c r="AH451" s="20" t="n"/>
      <c r="AI451" s="21" t="n"/>
      <c r="AJ451" s="25">
        <f>IF($R451="","",IF($R451&gt;IF($AH451&lt;&gt;"",MIN($AH451,Settings!$B$3),Settings!$B$3),0,(YEAR(IF($AH451&lt;&gt;"",MIN($AH451,Settings!$B$3),Settings!$B$3))-YEAR($R451))*12+MONTH(IF($AH451&lt;&gt;"",MIN($AH451,Settings!$B$3),Settings!$B$3))-MONTH($R451)+1))</f>
        <v/>
      </c>
      <c r="AK451" s="25">
        <f>IF($R451="","",IF($R451&gt;MIN(Settings!$B$4-1,IF($AH451&lt;&gt;"",MIN($AH451,Settings!$B$3),Settings!$B$3)),0,(YEAR(MIN(Settings!$B$4-1,IF($AH451&lt;&gt;"",MIN($AH451,Settings!$B$3),Settings!$B$3)))-YEAR($R451))*12+MONTH(MIN(Settings!$B$4-1,IF($AH451&lt;&gt;"",MIN($AH451,Settings!$B$3),Settings!$B$3)))-MONTH($R451)+1))</f>
        <v/>
      </c>
      <c r="AL451" s="23">
        <f>IF(OR($S451="",$R451=""),"",ROUND(MAX(0,IF($W451="Straight-line",IF(N($V451)&lt;=0,0,($S451-N($U451))*MIN($AK451,$V451)/$V451),IF($W451="Reducing balance",MIN(($S451-N($U451)),$S451-$S451*(1-N($AG451))^INT($AK451/12)*(1-N($AG451)*MOD($AK451,12)/12)),IF($W451="DDB",IF(N($V451)&lt;=0,0,MIN(($S451-N($U451)),$S451-$S451*(1-MIN(1,24/$V451))^INT($AK451/12)*(1-MIN(1,24/$V451)*MOD($AK451,12)/12))),IF($W451="SYD",IF(N($V451)&lt;=0,0,($S451-N($U451))*(INT(MIN($AK451,$V451)/12)*(2*($V451/12)-INT(MIN($AK451,$V451)/12)+1)/2+MOD(MIN($AK451,$V451),12)/12*(($V451/12)-INT(MIN($AK451,$V451)/12)))/(($V451/12)*(($V451/12)+1)/2)),0))))),2))</f>
        <v/>
      </c>
      <c r="AM451" s="23">
        <f>IF($X451="","",$X451-$AL451)</f>
        <v/>
      </c>
      <c r="AN451" s="23">
        <f>IF(OR($AH451="",$Y451=""),"",N($AI451)-$Y451)</f>
        <v/>
      </c>
    </row>
    <row r="452">
      <c r="Q452" s="20" t="n"/>
      <c r="R452" s="20" t="n"/>
      <c r="S452" s="21" t="n"/>
      <c r="U452" s="21" t="n"/>
      <c r="V452" s="22" t="n"/>
      <c r="X452" s="23">
        <f>IF(OR($S452="",$R452=""),"",ROUND(MAX(0,IF($W452="Straight-line",IF(N($V452)&lt;=0,0,($S452-N($U452))*MIN($AJ452,$V452)/$V452),IF($W452="Reducing balance",MIN(($S452-N($U452)),$S452-$S452*(1-N($AG452))^INT($AJ452/12)*(1-N($AG452)*MOD($AJ452,12)/12)),IF($W452="DDB",IF(N($V452)&lt;=0,0,MIN(($S452-N($U452)),$S452-$S452*(1-MIN(1,24/$V452))^INT($AJ452/12)*(1-MIN(1,24/$V452)*MOD($AJ452,12)/12))),IF($W452="SYD",IF(N($V452)&lt;=0,0,($S452-N($U452))*(INT(MIN($AJ452,$V452)/12)*(2*($V452/12)-INT(MIN($AJ452,$V452)/12)+1)/2+MOD(MIN($AJ452,$V452),12)/12*(($V452/12)-INT(MIN($AJ452,$V452)/12)))/(($V452/12)*(($V452/12)+1)/2)),0))))),2))</f>
        <v/>
      </c>
      <c r="Y452" s="23">
        <f>IF($X452="","",$S452-$X452)</f>
        <v/>
      </c>
      <c r="AD452" s="20" t="n"/>
      <c r="AG452" s="24" t="n"/>
      <c r="AH452" s="20" t="n"/>
      <c r="AI452" s="21" t="n"/>
      <c r="AJ452" s="25">
        <f>IF($R452="","",IF($R452&gt;IF($AH452&lt;&gt;"",MIN($AH452,Settings!$B$3),Settings!$B$3),0,(YEAR(IF($AH452&lt;&gt;"",MIN($AH452,Settings!$B$3),Settings!$B$3))-YEAR($R452))*12+MONTH(IF($AH452&lt;&gt;"",MIN($AH452,Settings!$B$3),Settings!$B$3))-MONTH($R452)+1))</f>
        <v/>
      </c>
      <c r="AK452" s="25">
        <f>IF($R452="","",IF($R452&gt;MIN(Settings!$B$4-1,IF($AH452&lt;&gt;"",MIN($AH452,Settings!$B$3),Settings!$B$3)),0,(YEAR(MIN(Settings!$B$4-1,IF($AH452&lt;&gt;"",MIN($AH452,Settings!$B$3),Settings!$B$3)))-YEAR($R452))*12+MONTH(MIN(Settings!$B$4-1,IF($AH452&lt;&gt;"",MIN($AH452,Settings!$B$3),Settings!$B$3)))-MONTH($R452)+1))</f>
        <v/>
      </c>
      <c r="AL452" s="23">
        <f>IF(OR($S452="",$R452=""),"",ROUND(MAX(0,IF($W452="Straight-line",IF(N($V452)&lt;=0,0,($S452-N($U452))*MIN($AK452,$V452)/$V452),IF($W452="Reducing balance",MIN(($S452-N($U452)),$S452-$S452*(1-N($AG452))^INT($AK452/12)*(1-N($AG452)*MOD($AK452,12)/12)),IF($W452="DDB",IF(N($V452)&lt;=0,0,MIN(($S452-N($U452)),$S452-$S452*(1-MIN(1,24/$V452))^INT($AK452/12)*(1-MIN(1,24/$V452)*MOD($AK452,12)/12))),IF($W452="SYD",IF(N($V452)&lt;=0,0,($S452-N($U452))*(INT(MIN($AK452,$V452)/12)*(2*($V452/12)-INT(MIN($AK452,$V452)/12)+1)/2+MOD(MIN($AK452,$V452),12)/12*(($V452/12)-INT(MIN($AK452,$V452)/12)))/(($V452/12)*(($V452/12)+1)/2)),0))))),2))</f>
        <v/>
      </c>
      <c r="AM452" s="23">
        <f>IF($X452="","",$X452-$AL452)</f>
        <v/>
      </c>
      <c r="AN452" s="23">
        <f>IF(OR($AH452="",$Y452=""),"",N($AI452)-$Y452)</f>
        <v/>
      </c>
    </row>
    <row r="453">
      <c r="Q453" s="20" t="n"/>
      <c r="R453" s="20" t="n"/>
      <c r="S453" s="21" t="n"/>
      <c r="U453" s="21" t="n"/>
      <c r="V453" s="22" t="n"/>
      <c r="X453" s="23">
        <f>IF(OR($S453="",$R453=""),"",ROUND(MAX(0,IF($W453="Straight-line",IF(N($V453)&lt;=0,0,($S453-N($U453))*MIN($AJ453,$V453)/$V453),IF($W453="Reducing balance",MIN(($S453-N($U453)),$S453-$S453*(1-N($AG453))^INT($AJ453/12)*(1-N($AG453)*MOD($AJ453,12)/12)),IF($W453="DDB",IF(N($V453)&lt;=0,0,MIN(($S453-N($U453)),$S453-$S453*(1-MIN(1,24/$V453))^INT($AJ453/12)*(1-MIN(1,24/$V453)*MOD($AJ453,12)/12))),IF($W453="SYD",IF(N($V453)&lt;=0,0,($S453-N($U453))*(INT(MIN($AJ453,$V453)/12)*(2*($V453/12)-INT(MIN($AJ453,$V453)/12)+1)/2+MOD(MIN($AJ453,$V453),12)/12*(($V453/12)-INT(MIN($AJ453,$V453)/12)))/(($V453/12)*(($V453/12)+1)/2)),0))))),2))</f>
        <v/>
      </c>
      <c r="Y453" s="23">
        <f>IF($X453="","",$S453-$X453)</f>
        <v/>
      </c>
      <c r="AD453" s="20" t="n"/>
      <c r="AG453" s="24" t="n"/>
      <c r="AH453" s="20" t="n"/>
      <c r="AI453" s="21" t="n"/>
      <c r="AJ453" s="25">
        <f>IF($R453="","",IF($R453&gt;IF($AH453&lt;&gt;"",MIN($AH453,Settings!$B$3),Settings!$B$3),0,(YEAR(IF($AH453&lt;&gt;"",MIN($AH453,Settings!$B$3),Settings!$B$3))-YEAR($R453))*12+MONTH(IF($AH453&lt;&gt;"",MIN($AH453,Settings!$B$3),Settings!$B$3))-MONTH($R453)+1))</f>
        <v/>
      </c>
      <c r="AK453" s="25">
        <f>IF($R453="","",IF($R453&gt;MIN(Settings!$B$4-1,IF($AH453&lt;&gt;"",MIN($AH453,Settings!$B$3),Settings!$B$3)),0,(YEAR(MIN(Settings!$B$4-1,IF($AH453&lt;&gt;"",MIN($AH453,Settings!$B$3),Settings!$B$3)))-YEAR($R453))*12+MONTH(MIN(Settings!$B$4-1,IF($AH453&lt;&gt;"",MIN($AH453,Settings!$B$3),Settings!$B$3)))-MONTH($R453)+1))</f>
        <v/>
      </c>
      <c r="AL453" s="23">
        <f>IF(OR($S453="",$R453=""),"",ROUND(MAX(0,IF($W453="Straight-line",IF(N($V453)&lt;=0,0,($S453-N($U453))*MIN($AK453,$V453)/$V453),IF($W453="Reducing balance",MIN(($S453-N($U453)),$S453-$S453*(1-N($AG453))^INT($AK453/12)*(1-N($AG453)*MOD($AK453,12)/12)),IF($W453="DDB",IF(N($V453)&lt;=0,0,MIN(($S453-N($U453)),$S453-$S453*(1-MIN(1,24/$V453))^INT($AK453/12)*(1-MIN(1,24/$V453)*MOD($AK453,12)/12))),IF($W453="SYD",IF(N($V453)&lt;=0,0,($S453-N($U453))*(INT(MIN($AK453,$V453)/12)*(2*($V453/12)-INT(MIN($AK453,$V453)/12)+1)/2+MOD(MIN($AK453,$V453),12)/12*(($V453/12)-INT(MIN($AK453,$V453)/12)))/(($V453/12)*(($V453/12)+1)/2)),0))))),2))</f>
        <v/>
      </c>
      <c r="AM453" s="23">
        <f>IF($X453="","",$X453-$AL453)</f>
        <v/>
      </c>
      <c r="AN453" s="23">
        <f>IF(OR($AH453="",$Y453=""),"",N($AI453)-$Y453)</f>
        <v/>
      </c>
    </row>
    <row r="454">
      <c r="Q454" s="20" t="n"/>
      <c r="R454" s="20" t="n"/>
      <c r="S454" s="21" t="n"/>
      <c r="U454" s="21" t="n"/>
      <c r="V454" s="22" t="n"/>
      <c r="X454" s="23">
        <f>IF(OR($S454="",$R454=""),"",ROUND(MAX(0,IF($W454="Straight-line",IF(N($V454)&lt;=0,0,($S454-N($U454))*MIN($AJ454,$V454)/$V454),IF($W454="Reducing balance",MIN(($S454-N($U454)),$S454-$S454*(1-N($AG454))^INT($AJ454/12)*(1-N($AG454)*MOD($AJ454,12)/12)),IF($W454="DDB",IF(N($V454)&lt;=0,0,MIN(($S454-N($U454)),$S454-$S454*(1-MIN(1,24/$V454))^INT($AJ454/12)*(1-MIN(1,24/$V454)*MOD($AJ454,12)/12))),IF($W454="SYD",IF(N($V454)&lt;=0,0,($S454-N($U454))*(INT(MIN($AJ454,$V454)/12)*(2*($V454/12)-INT(MIN($AJ454,$V454)/12)+1)/2+MOD(MIN($AJ454,$V454),12)/12*(($V454/12)-INT(MIN($AJ454,$V454)/12)))/(($V454/12)*(($V454/12)+1)/2)),0))))),2))</f>
        <v/>
      </c>
      <c r="Y454" s="23">
        <f>IF($X454="","",$S454-$X454)</f>
        <v/>
      </c>
      <c r="AD454" s="20" t="n"/>
      <c r="AG454" s="24" t="n"/>
      <c r="AH454" s="20" t="n"/>
      <c r="AI454" s="21" t="n"/>
      <c r="AJ454" s="25">
        <f>IF($R454="","",IF($R454&gt;IF($AH454&lt;&gt;"",MIN($AH454,Settings!$B$3),Settings!$B$3),0,(YEAR(IF($AH454&lt;&gt;"",MIN($AH454,Settings!$B$3),Settings!$B$3))-YEAR($R454))*12+MONTH(IF($AH454&lt;&gt;"",MIN($AH454,Settings!$B$3),Settings!$B$3))-MONTH($R454)+1))</f>
        <v/>
      </c>
      <c r="AK454" s="25">
        <f>IF($R454="","",IF($R454&gt;MIN(Settings!$B$4-1,IF($AH454&lt;&gt;"",MIN($AH454,Settings!$B$3),Settings!$B$3)),0,(YEAR(MIN(Settings!$B$4-1,IF($AH454&lt;&gt;"",MIN($AH454,Settings!$B$3),Settings!$B$3)))-YEAR($R454))*12+MONTH(MIN(Settings!$B$4-1,IF($AH454&lt;&gt;"",MIN($AH454,Settings!$B$3),Settings!$B$3)))-MONTH($R454)+1))</f>
        <v/>
      </c>
      <c r="AL454" s="23">
        <f>IF(OR($S454="",$R454=""),"",ROUND(MAX(0,IF($W454="Straight-line",IF(N($V454)&lt;=0,0,($S454-N($U454))*MIN($AK454,$V454)/$V454),IF($W454="Reducing balance",MIN(($S454-N($U454)),$S454-$S454*(1-N($AG454))^INT($AK454/12)*(1-N($AG454)*MOD($AK454,12)/12)),IF($W454="DDB",IF(N($V454)&lt;=0,0,MIN(($S454-N($U454)),$S454-$S454*(1-MIN(1,24/$V454))^INT($AK454/12)*(1-MIN(1,24/$V454)*MOD($AK454,12)/12))),IF($W454="SYD",IF(N($V454)&lt;=0,0,($S454-N($U454))*(INT(MIN($AK454,$V454)/12)*(2*($V454/12)-INT(MIN($AK454,$V454)/12)+1)/2+MOD(MIN($AK454,$V454),12)/12*(($V454/12)-INT(MIN($AK454,$V454)/12)))/(($V454/12)*(($V454/12)+1)/2)),0))))),2))</f>
        <v/>
      </c>
      <c r="AM454" s="23">
        <f>IF($X454="","",$X454-$AL454)</f>
        <v/>
      </c>
      <c r="AN454" s="23">
        <f>IF(OR($AH454="",$Y454=""),"",N($AI454)-$Y454)</f>
        <v/>
      </c>
    </row>
    <row r="455">
      <c r="Q455" s="20" t="n"/>
      <c r="R455" s="20" t="n"/>
      <c r="S455" s="21" t="n"/>
      <c r="U455" s="21" t="n"/>
      <c r="V455" s="22" t="n"/>
      <c r="X455" s="23">
        <f>IF(OR($S455="",$R455=""),"",ROUND(MAX(0,IF($W455="Straight-line",IF(N($V455)&lt;=0,0,($S455-N($U455))*MIN($AJ455,$V455)/$V455),IF($W455="Reducing balance",MIN(($S455-N($U455)),$S455-$S455*(1-N($AG455))^INT($AJ455/12)*(1-N($AG455)*MOD($AJ455,12)/12)),IF($W455="DDB",IF(N($V455)&lt;=0,0,MIN(($S455-N($U455)),$S455-$S455*(1-MIN(1,24/$V455))^INT($AJ455/12)*(1-MIN(1,24/$V455)*MOD($AJ455,12)/12))),IF($W455="SYD",IF(N($V455)&lt;=0,0,($S455-N($U455))*(INT(MIN($AJ455,$V455)/12)*(2*($V455/12)-INT(MIN($AJ455,$V455)/12)+1)/2+MOD(MIN($AJ455,$V455),12)/12*(($V455/12)-INT(MIN($AJ455,$V455)/12)))/(($V455/12)*(($V455/12)+1)/2)),0))))),2))</f>
        <v/>
      </c>
      <c r="Y455" s="23">
        <f>IF($X455="","",$S455-$X455)</f>
        <v/>
      </c>
      <c r="AD455" s="20" t="n"/>
      <c r="AG455" s="24" t="n"/>
      <c r="AH455" s="20" t="n"/>
      <c r="AI455" s="21" t="n"/>
      <c r="AJ455" s="25">
        <f>IF($R455="","",IF($R455&gt;IF($AH455&lt;&gt;"",MIN($AH455,Settings!$B$3),Settings!$B$3),0,(YEAR(IF($AH455&lt;&gt;"",MIN($AH455,Settings!$B$3),Settings!$B$3))-YEAR($R455))*12+MONTH(IF($AH455&lt;&gt;"",MIN($AH455,Settings!$B$3),Settings!$B$3))-MONTH($R455)+1))</f>
        <v/>
      </c>
      <c r="AK455" s="25">
        <f>IF($R455="","",IF($R455&gt;MIN(Settings!$B$4-1,IF($AH455&lt;&gt;"",MIN($AH455,Settings!$B$3),Settings!$B$3)),0,(YEAR(MIN(Settings!$B$4-1,IF($AH455&lt;&gt;"",MIN($AH455,Settings!$B$3),Settings!$B$3)))-YEAR($R455))*12+MONTH(MIN(Settings!$B$4-1,IF($AH455&lt;&gt;"",MIN($AH455,Settings!$B$3),Settings!$B$3)))-MONTH($R455)+1))</f>
        <v/>
      </c>
      <c r="AL455" s="23">
        <f>IF(OR($S455="",$R455=""),"",ROUND(MAX(0,IF($W455="Straight-line",IF(N($V455)&lt;=0,0,($S455-N($U455))*MIN($AK455,$V455)/$V455),IF($W455="Reducing balance",MIN(($S455-N($U455)),$S455-$S455*(1-N($AG455))^INT($AK455/12)*(1-N($AG455)*MOD($AK455,12)/12)),IF($W455="DDB",IF(N($V455)&lt;=0,0,MIN(($S455-N($U455)),$S455-$S455*(1-MIN(1,24/$V455))^INT($AK455/12)*(1-MIN(1,24/$V455)*MOD($AK455,12)/12))),IF($W455="SYD",IF(N($V455)&lt;=0,0,($S455-N($U455))*(INT(MIN($AK455,$V455)/12)*(2*($V455/12)-INT(MIN($AK455,$V455)/12)+1)/2+MOD(MIN($AK455,$V455),12)/12*(($V455/12)-INT(MIN($AK455,$V455)/12)))/(($V455/12)*(($V455/12)+1)/2)),0))))),2))</f>
        <v/>
      </c>
      <c r="AM455" s="23">
        <f>IF($X455="","",$X455-$AL455)</f>
        <v/>
      </c>
      <c r="AN455" s="23">
        <f>IF(OR($AH455="",$Y455=""),"",N($AI455)-$Y455)</f>
        <v/>
      </c>
    </row>
    <row r="456">
      <c r="Q456" s="20" t="n"/>
      <c r="R456" s="20" t="n"/>
      <c r="S456" s="21" t="n"/>
      <c r="U456" s="21" t="n"/>
      <c r="V456" s="22" t="n"/>
      <c r="X456" s="23">
        <f>IF(OR($S456="",$R456=""),"",ROUND(MAX(0,IF($W456="Straight-line",IF(N($V456)&lt;=0,0,($S456-N($U456))*MIN($AJ456,$V456)/$V456),IF($W456="Reducing balance",MIN(($S456-N($U456)),$S456-$S456*(1-N($AG456))^INT($AJ456/12)*(1-N($AG456)*MOD($AJ456,12)/12)),IF($W456="DDB",IF(N($V456)&lt;=0,0,MIN(($S456-N($U456)),$S456-$S456*(1-MIN(1,24/$V456))^INT($AJ456/12)*(1-MIN(1,24/$V456)*MOD($AJ456,12)/12))),IF($W456="SYD",IF(N($V456)&lt;=0,0,($S456-N($U456))*(INT(MIN($AJ456,$V456)/12)*(2*($V456/12)-INT(MIN($AJ456,$V456)/12)+1)/2+MOD(MIN($AJ456,$V456),12)/12*(($V456/12)-INT(MIN($AJ456,$V456)/12)))/(($V456/12)*(($V456/12)+1)/2)),0))))),2))</f>
        <v/>
      </c>
      <c r="Y456" s="23">
        <f>IF($X456="","",$S456-$X456)</f>
        <v/>
      </c>
      <c r="AD456" s="20" t="n"/>
      <c r="AG456" s="24" t="n"/>
      <c r="AH456" s="20" t="n"/>
      <c r="AI456" s="21" t="n"/>
      <c r="AJ456" s="25">
        <f>IF($R456="","",IF($R456&gt;IF($AH456&lt;&gt;"",MIN($AH456,Settings!$B$3),Settings!$B$3),0,(YEAR(IF($AH456&lt;&gt;"",MIN($AH456,Settings!$B$3),Settings!$B$3))-YEAR($R456))*12+MONTH(IF($AH456&lt;&gt;"",MIN($AH456,Settings!$B$3),Settings!$B$3))-MONTH($R456)+1))</f>
        <v/>
      </c>
      <c r="AK456" s="25">
        <f>IF($R456="","",IF($R456&gt;MIN(Settings!$B$4-1,IF($AH456&lt;&gt;"",MIN($AH456,Settings!$B$3),Settings!$B$3)),0,(YEAR(MIN(Settings!$B$4-1,IF($AH456&lt;&gt;"",MIN($AH456,Settings!$B$3),Settings!$B$3)))-YEAR($R456))*12+MONTH(MIN(Settings!$B$4-1,IF($AH456&lt;&gt;"",MIN($AH456,Settings!$B$3),Settings!$B$3)))-MONTH($R456)+1))</f>
        <v/>
      </c>
      <c r="AL456" s="23">
        <f>IF(OR($S456="",$R456=""),"",ROUND(MAX(0,IF($W456="Straight-line",IF(N($V456)&lt;=0,0,($S456-N($U456))*MIN($AK456,$V456)/$V456),IF($W456="Reducing balance",MIN(($S456-N($U456)),$S456-$S456*(1-N($AG456))^INT($AK456/12)*(1-N($AG456)*MOD($AK456,12)/12)),IF($W456="DDB",IF(N($V456)&lt;=0,0,MIN(($S456-N($U456)),$S456-$S456*(1-MIN(1,24/$V456))^INT($AK456/12)*(1-MIN(1,24/$V456)*MOD($AK456,12)/12))),IF($W456="SYD",IF(N($V456)&lt;=0,0,($S456-N($U456))*(INT(MIN($AK456,$V456)/12)*(2*($V456/12)-INT(MIN($AK456,$V456)/12)+1)/2+MOD(MIN($AK456,$V456),12)/12*(($V456/12)-INT(MIN($AK456,$V456)/12)))/(($V456/12)*(($V456/12)+1)/2)),0))))),2))</f>
        <v/>
      </c>
      <c r="AM456" s="23">
        <f>IF($X456="","",$X456-$AL456)</f>
        <v/>
      </c>
      <c r="AN456" s="23">
        <f>IF(OR($AH456="",$Y456=""),"",N($AI456)-$Y456)</f>
        <v/>
      </c>
    </row>
    <row r="457">
      <c r="Q457" s="20" t="n"/>
      <c r="R457" s="20" t="n"/>
      <c r="S457" s="21" t="n"/>
      <c r="U457" s="21" t="n"/>
      <c r="V457" s="22" t="n"/>
      <c r="X457" s="23">
        <f>IF(OR($S457="",$R457=""),"",ROUND(MAX(0,IF($W457="Straight-line",IF(N($V457)&lt;=0,0,($S457-N($U457))*MIN($AJ457,$V457)/$V457),IF($W457="Reducing balance",MIN(($S457-N($U457)),$S457-$S457*(1-N($AG457))^INT($AJ457/12)*(1-N($AG457)*MOD($AJ457,12)/12)),IF($W457="DDB",IF(N($V457)&lt;=0,0,MIN(($S457-N($U457)),$S457-$S457*(1-MIN(1,24/$V457))^INT($AJ457/12)*(1-MIN(1,24/$V457)*MOD($AJ457,12)/12))),IF($W457="SYD",IF(N($V457)&lt;=0,0,($S457-N($U457))*(INT(MIN($AJ457,$V457)/12)*(2*($V457/12)-INT(MIN($AJ457,$V457)/12)+1)/2+MOD(MIN($AJ457,$V457),12)/12*(($V457/12)-INT(MIN($AJ457,$V457)/12)))/(($V457/12)*(($V457/12)+1)/2)),0))))),2))</f>
        <v/>
      </c>
      <c r="Y457" s="23">
        <f>IF($X457="","",$S457-$X457)</f>
        <v/>
      </c>
      <c r="AD457" s="20" t="n"/>
      <c r="AG457" s="24" t="n"/>
      <c r="AH457" s="20" t="n"/>
      <c r="AI457" s="21" t="n"/>
      <c r="AJ457" s="25">
        <f>IF($R457="","",IF($R457&gt;IF($AH457&lt;&gt;"",MIN($AH457,Settings!$B$3),Settings!$B$3),0,(YEAR(IF($AH457&lt;&gt;"",MIN($AH457,Settings!$B$3),Settings!$B$3))-YEAR($R457))*12+MONTH(IF($AH457&lt;&gt;"",MIN($AH457,Settings!$B$3),Settings!$B$3))-MONTH($R457)+1))</f>
        <v/>
      </c>
      <c r="AK457" s="25">
        <f>IF($R457="","",IF($R457&gt;MIN(Settings!$B$4-1,IF($AH457&lt;&gt;"",MIN($AH457,Settings!$B$3),Settings!$B$3)),0,(YEAR(MIN(Settings!$B$4-1,IF($AH457&lt;&gt;"",MIN($AH457,Settings!$B$3),Settings!$B$3)))-YEAR($R457))*12+MONTH(MIN(Settings!$B$4-1,IF($AH457&lt;&gt;"",MIN($AH457,Settings!$B$3),Settings!$B$3)))-MONTH($R457)+1))</f>
        <v/>
      </c>
      <c r="AL457" s="23">
        <f>IF(OR($S457="",$R457=""),"",ROUND(MAX(0,IF($W457="Straight-line",IF(N($V457)&lt;=0,0,($S457-N($U457))*MIN($AK457,$V457)/$V457),IF($W457="Reducing balance",MIN(($S457-N($U457)),$S457-$S457*(1-N($AG457))^INT($AK457/12)*(1-N($AG457)*MOD($AK457,12)/12)),IF($W457="DDB",IF(N($V457)&lt;=0,0,MIN(($S457-N($U457)),$S457-$S457*(1-MIN(1,24/$V457))^INT($AK457/12)*(1-MIN(1,24/$V457)*MOD($AK457,12)/12))),IF($W457="SYD",IF(N($V457)&lt;=0,0,($S457-N($U457))*(INT(MIN($AK457,$V457)/12)*(2*($V457/12)-INT(MIN($AK457,$V457)/12)+1)/2+MOD(MIN($AK457,$V457),12)/12*(($V457/12)-INT(MIN($AK457,$V457)/12)))/(($V457/12)*(($V457/12)+1)/2)),0))))),2))</f>
        <v/>
      </c>
      <c r="AM457" s="23">
        <f>IF($X457="","",$X457-$AL457)</f>
        <v/>
      </c>
      <c r="AN457" s="23">
        <f>IF(OR($AH457="",$Y457=""),"",N($AI457)-$Y457)</f>
        <v/>
      </c>
    </row>
    <row r="458">
      <c r="Q458" s="20" t="n"/>
      <c r="R458" s="20" t="n"/>
      <c r="S458" s="21" t="n"/>
      <c r="U458" s="21" t="n"/>
      <c r="V458" s="22" t="n"/>
      <c r="X458" s="23">
        <f>IF(OR($S458="",$R458=""),"",ROUND(MAX(0,IF($W458="Straight-line",IF(N($V458)&lt;=0,0,($S458-N($U458))*MIN($AJ458,$V458)/$V458),IF($W458="Reducing balance",MIN(($S458-N($U458)),$S458-$S458*(1-N($AG458))^INT($AJ458/12)*(1-N($AG458)*MOD($AJ458,12)/12)),IF($W458="DDB",IF(N($V458)&lt;=0,0,MIN(($S458-N($U458)),$S458-$S458*(1-MIN(1,24/$V458))^INT($AJ458/12)*(1-MIN(1,24/$V458)*MOD($AJ458,12)/12))),IF($W458="SYD",IF(N($V458)&lt;=0,0,($S458-N($U458))*(INT(MIN($AJ458,$V458)/12)*(2*($V458/12)-INT(MIN($AJ458,$V458)/12)+1)/2+MOD(MIN($AJ458,$V458),12)/12*(($V458/12)-INT(MIN($AJ458,$V458)/12)))/(($V458/12)*(($V458/12)+1)/2)),0))))),2))</f>
        <v/>
      </c>
      <c r="Y458" s="23">
        <f>IF($X458="","",$S458-$X458)</f>
        <v/>
      </c>
      <c r="AD458" s="20" t="n"/>
      <c r="AG458" s="24" t="n"/>
      <c r="AH458" s="20" t="n"/>
      <c r="AI458" s="21" t="n"/>
      <c r="AJ458" s="25">
        <f>IF($R458="","",IF($R458&gt;IF($AH458&lt;&gt;"",MIN($AH458,Settings!$B$3),Settings!$B$3),0,(YEAR(IF($AH458&lt;&gt;"",MIN($AH458,Settings!$B$3),Settings!$B$3))-YEAR($R458))*12+MONTH(IF($AH458&lt;&gt;"",MIN($AH458,Settings!$B$3),Settings!$B$3))-MONTH($R458)+1))</f>
        <v/>
      </c>
      <c r="AK458" s="25">
        <f>IF($R458="","",IF($R458&gt;MIN(Settings!$B$4-1,IF($AH458&lt;&gt;"",MIN($AH458,Settings!$B$3),Settings!$B$3)),0,(YEAR(MIN(Settings!$B$4-1,IF($AH458&lt;&gt;"",MIN($AH458,Settings!$B$3),Settings!$B$3)))-YEAR($R458))*12+MONTH(MIN(Settings!$B$4-1,IF($AH458&lt;&gt;"",MIN($AH458,Settings!$B$3),Settings!$B$3)))-MONTH($R458)+1))</f>
        <v/>
      </c>
      <c r="AL458" s="23">
        <f>IF(OR($S458="",$R458=""),"",ROUND(MAX(0,IF($W458="Straight-line",IF(N($V458)&lt;=0,0,($S458-N($U458))*MIN($AK458,$V458)/$V458),IF($W458="Reducing balance",MIN(($S458-N($U458)),$S458-$S458*(1-N($AG458))^INT($AK458/12)*(1-N($AG458)*MOD($AK458,12)/12)),IF($W458="DDB",IF(N($V458)&lt;=0,0,MIN(($S458-N($U458)),$S458-$S458*(1-MIN(1,24/$V458))^INT($AK458/12)*(1-MIN(1,24/$V458)*MOD($AK458,12)/12))),IF($W458="SYD",IF(N($V458)&lt;=0,0,($S458-N($U458))*(INT(MIN($AK458,$V458)/12)*(2*($V458/12)-INT(MIN($AK458,$V458)/12)+1)/2+MOD(MIN($AK458,$V458),12)/12*(($V458/12)-INT(MIN($AK458,$V458)/12)))/(($V458/12)*(($V458/12)+1)/2)),0))))),2))</f>
        <v/>
      </c>
      <c r="AM458" s="23">
        <f>IF($X458="","",$X458-$AL458)</f>
        <v/>
      </c>
      <c r="AN458" s="23">
        <f>IF(OR($AH458="",$Y458=""),"",N($AI458)-$Y458)</f>
        <v/>
      </c>
    </row>
    <row r="459">
      <c r="Q459" s="20" t="n"/>
      <c r="R459" s="20" t="n"/>
      <c r="S459" s="21" t="n"/>
      <c r="U459" s="21" t="n"/>
      <c r="V459" s="22" t="n"/>
      <c r="X459" s="23">
        <f>IF(OR($S459="",$R459=""),"",ROUND(MAX(0,IF($W459="Straight-line",IF(N($V459)&lt;=0,0,($S459-N($U459))*MIN($AJ459,$V459)/$V459),IF($W459="Reducing balance",MIN(($S459-N($U459)),$S459-$S459*(1-N($AG459))^INT($AJ459/12)*(1-N($AG459)*MOD($AJ459,12)/12)),IF($W459="DDB",IF(N($V459)&lt;=0,0,MIN(($S459-N($U459)),$S459-$S459*(1-MIN(1,24/$V459))^INT($AJ459/12)*(1-MIN(1,24/$V459)*MOD($AJ459,12)/12))),IF($W459="SYD",IF(N($V459)&lt;=0,0,($S459-N($U459))*(INT(MIN($AJ459,$V459)/12)*(2*($V459/12)-INT(MIN($AJ459,$V459)/12)+1)/2+MOD(MIN($AJ459,$V459),12)/12*(($V459/12)-INT(MIN($AJ459,$V459)/12)))/(($V459/12)*(($V459/12)+1)/2)),0))))),2))</f>
        <v/>
      </c>
      <c r="Y459" s="23">
        <f>IF($X459="","",$S459-$X459)</f>
        <v/>
      </c>
      <c r="AD459" s="20" t="n"/>
      <c r="AG459" s="24" t="n"/>
      <c r="AH459" s="20" t="n"/>
      <c r="AI459" s="21" t="n"/>
      <c r="AJ459" s="25">
        <f>IF($R459="","",IF($R459&gt;IF($AH459&lt;&gt;"",MIN($AH459,Settings!$B$3),Settings!$B$3),0,(YEAR(IF($AH459&lt;&gt;"",MIN($AH459,Settings!$B$3),Settings!$B$3))-YEAR($R459))*12+MONTH(IF($AH459&lt;&gt;"",MIN($AH459,Settings!$B$3),Settings!$B$3))-MONTH($R459)+1))</f>
        <v/>
      </c>
      <c r="AK459" s="25">
        <f>IF($R459="","",IF($R459&gt;MIN(Settings!$B$4-1,IF($AH459&lt;&gt;"",MIN($AH459,Settings!$B$3),Settings!$B$3)),0,(YEAR(MIN(Settings!$B$4-1,IF($AH459&lt;&gt;"",MIN($AH459,Settings!$B$3),Settings!$B$3)))-YEAR($R459))*12+MONTH(MIN(Settings!$B$4-1,IF($AH459&lt;&gt;"",MIN($AH459,Settings!$B$3),Settings!$B$3)))-MONTH($R459)+1))</f>
        <v/>
      </c>
      <c r="AL459" s="23">
        <f>IF(OR($S459="",$R459=""),"",ROUND(MAX(0,IF($W459="Straight-line",IF(N($V459)&lt;=0,0,($S459-N($U459))*MIN($AK459,$V459)/$V459),IF($W459="Reducing balance",MIN(($S459-N($U459)),$S459-$S459*(1-N($AG459))^INT($AK459/12)*(1-N($AG459)*MOD($AK459,12)/12)),IF($W459="DDB",IF(N($V459)&lt;=0,0,MIN(($S459-N($U459)),$S459-$S459*(1-MIN(1,24/$V459))^INT($AK459/12)*(1-MIN(1,24/$V459)*MOD($AK459,12)/12))),IF($W459="SYD",IF(N($V459)&lt;=0,0,($S459-N($U459))*(INT(MIN($AK459,$V459)/12)*(2*($V459/12)-INT(MIN($AK459,$V459)/12)+1)/2+MOD(MIN($AK459,$V459),12)/12*(($V459/12)-INT(MIN($AK459,$V459)/12)))/(($V459/12)*(($V459/12)+1)/2)),0))))),2))</f>
        <v/>
      </c>
      <c r="AM459" s="23">
        <f>IF($X459="","",$X459-$AL459)</f>
        <v/>
      </c>
      <c r="AN459" s="23">
        <f>IF(OR($AH459="",$Y459=""),"",N($AI459)-$Y459)</f>
        <v/>
      </c>
    </row>
    <row r="460">
      <c r="Q460" s="20" t="n"/>
      <c r="R460" s="20" t="n"/>
      <c r="S460" s="21" t="n"/>
      <c r="U460" s="21" t="n"/>
      <c r="V460" s="22" t="n"/>
      <c r="X460" s="23">
        <f>IF(OR($S460="",$R460=""),"",ROUND(MAX(0,IF($W460="Straight-line",IF(N($V460)&lt;=0,0,($S460-N($U460))*MIN($AJ460,$V460)/$V460),IF($W460="Reducing balance",MIN(($S460-N($U460)),$S460-$S460*(1-N($AG460))^INT($AJ460/12)*(1-N($AG460)*MOD($AJ460,12)/12)),IF($W460="DDB",IF(N($V460)&lt;=0,0,MIN(($S460-N($U460)),$S460-$S460*(1-MIN(1,24/$V460))^INT($AJ460/12)*(1-MIN(1,24/$V460)*MOD($AJ460,12)/12))),IF($W460="SYD",IF(N($V460)&lt;=0,0,($S460-N($U460))*(INT(MIN($AJ460,$V460)/12)*(2*($V460/12)-INT(MIN($AJ460,$V460)/12)+1)/2+MOD(MIN($AJ460,$V460),12)/12*(($V460/12)-INT(MIN($AJ460,$V460)/12)))/(($V460/12)*(($V460/12)+1)/2)),0))))),2))</f>
        <v/>
      </c>
      <c r="Y460" s="23">
        <f>IF($X460="","",$S460-$X460)</f>
        <v/>
      </c>
      <c r="AD460" s="20" t="n"/>
      <c r="AG460" s="24" t="n"/>
      <c r="AH460" s="20" t="n"/>
      <c r="AI460" s="21" t="n"/>
      <c r="AJ460" s="25">
        <f>IF($R460="","",IF($R460&gt;IF($AH460&lt;&gt;"",MIN($AH460,Settings!$B$3),Settings!$B$3),0,(YEAR(IF($AH460&lt;&gt;"",MIN($AH460,Settings!$B$3),Settings!$B$3))-YEAR($R460))*12+MONTH(IF($AH460&lt;&gt;"",MIN($AH460,Settings!$B$3),Settings!$B$3))-MONTH($R460)+1))</f>
        <v/>
      </c>
      <c r="AK460" s="25">
        <f>IF($R460="","",IF($R460&gt;MIN(Settings!$B$4-1,IF($AH460&lt;&gt;"",MIN($AH460,Settings!$B$3),Settings!$B$3)),0,(YEAR(MIN(Settings!$B$4-1,IF($AH460&lt;&gt;"",MIN($AH460,Settings!$B$3),Settings!$B$3)))-YEAR($R460))*12+MONTH(MIN(Settings!$B$4-1,IF($AH460&lt;&gt;"",MIN($AH460,Settings!$B$3),Settings!$B$3)))-MONTH($R460)+1))</f>
        <v/>
      </c>
      <c r="AL460" s="23">
        <f>IF(OR($S460="",$R460=""),"",ROUND(MAX(0,IF($W460="Straight-line",IF(N($V460)&lt;=0,0,($S460-N($U460))*MIN($AK460,$V460)/$V460),IF($W460="Reducing balance",MIN(($S460-N($U460)),$S460-$S460*(1-N($AG460))^INT($AK460/12)*(1-N($AG460)*MOD($AK460,12)/12)),IF($W460="DDB",IF(N($V460)&lt;=0,0,MIN(($S460-N($U460)),$S460-$S460*(1-MIN(1,24/$V460))^INT($AK460/12)*(1-MIN(1,24/$V460)*MOD($AK460,12)/12))),IF($W460="SYD",IF(N($V460)&lt;=0,0,($S460-N($U460))*(INT(MIN($AK460,$V460)/12)*(2*($V460/12)-INT(MIN($AK460,$V460)/12)+1)/2+MOD(MIN($AK460,$V460),12)/12*(($V460/12)-INT(MIN($AK460,$V460)/12)))/(($V460/12)*(($V460/12)+1)/2)),0))))),2))</f>
        <v/>
      </c>
      <c r="AM460" s="23">
        <f>IF($X460="","",$X460-$AL460)</f>
        <v/>
      </c>
      <c r="AN460" s="23">
        <f>IF(OR($AH460="",$Y460=""),"",N($AI460)-$Y460)</f>
        <v/>
      </c>
    </row>
    <row r="461">
      <c r="Q461" s="20" t="n"/>
      <c r="R461" s="20" t="n"/>
      <c r="S461" s="21" t="n"/>
      <c r="U461" s="21" t="n"/>
      <c r="V461" s="22" t="n"/>
      <c r="X461" s="23">
        <f>IF(OR($S461="",$R461=""),"",ROUND(MAX(0,IF($W461="Straight-line",IF(N($V461)&lt;=0,0,($S461-N($U461))*MIN($AJ461,$V461)/$V461),IF($W461="Reducing balance",MIN(($S461-N($U461)),$S461-$S461*(1-N($AG461))^INT($AJ461/12)*(1-N($AG461)*MOD($AJ461,12)/12)),IF($W461="DDB",IF(N($V461)&lt;=0,0,MIN(($S461-N($U461)),$S461-$S461*(1-MIN(1,24/$V461))^INT($AJ461/12)*(1-MIN(1,24/$V461)*MOD($AJ461,12)/12))),IF($W461="SYD",IF(N($V461)&lt;=0,0,($S461-N($U461))*(INT(MIN($AJ461,$V461)/12)*(2*($V461/12)-INT(MIN($AJ461,$V461)/12)+1)/2+MOD(MIN($AJ461,$V461),12)/12*(($V461/12)-INT(MIN($AJ461,$V461)/12)))/(($V461/12)*(($V461/12)+1)/2)),0))))),2))</f>
        <v/>
      </c>
      <c r="Y461" s="23">
        <f>IF($X461="","",$S461-$X461)</f>
        <v/>
      </c>
      <c r="AD461" s="20" t="n"/>
      <c r="AG461" s="24" t="n"/>
      <c r="AH461" s="20" t="n"/>
      <c r="AI461" s="21" t="n"/>
      <c r="AJ461" s="25">
        <f>IF($R461="","",IF($R461&gt;IF($AH461&lt;&gt;"",MIN($AH461,Settings!$B$3),Settings!$B$3),0,(YEAR(IF($AH461&lt;&gt;"",MIN($AH461,Settings!$B$3),Settings!$B$3))-YEAR($R461))*12+MONTH(IF($AH461&lt;&gt;"",MIN($AH461,Settings!$B$3),Settings!$B$3))-MONTH($R461)+1))</f>
        <v/>
      </c>
      <c r="AK461" s="25">
        <f>IF($R461="","",IF($R461&gt;MIN(Settings!$B$4-1,IF($AH461&lt;&gt;"",MIN($AH461,Settings!$B$3),Settings!$B$3)),0,(YEAR(MIN(Settings!$B$4-1,IF($AH461&lt;&gt;"",MIN($AH461,Settings!$B$3),Settings!$B$3)))-YEAR($R461))*12+MONTH(MIN(Settings!$B$4-1,IF($AH461&lt;&gt;"",MIN($AH461,Settings!$B$3),Settings!$B$3)))-MONTH($R461)+1))</f>
        <v/>
      </c>
      <c r="AL461" s="23">
        <f>IF(OR($S461="",$R461=""),"",ROUND(MAX(0,IF($W461="Straight-line",IF(N($V461)&lt;=0,0,($S461-N($U461))*MIN($AK461,$V461)/$V461),IF($W461="Reducing balance",MIN(($S461-N($U461)),$S461-$S461*(1-N($AG461))^INT($AK461/12)*(1-N($AG461)*MOD($AK461,12)/12)),IF($W461="DDB",IF(N($V461)&lt;=0,0,MIN(($S461-N($U461)),$S461-$S461*(1-MIN(1,24/$V461))^INT($AK461/12)*(1-MIN(1,24/$V461)*MOD($AK461,12)/12))),IF($W461="SYD",IF(N($V461)&lt;=0,0,($S461-N($U461))*(INT(MIN($AK461,$V461)/12)*(2*($V461/12)-INT(MIN($AK461,$V461)/12)+1)/2+MOD(MIN($AK461,$V461),12)/12*(($V461/12)-INT(MIN($AK461,$V461)/12)))/(($V461/12)*(($V461/12)+1)/2)),0))))),2))</f>
        <v/>
      </c>
      <c r="AM461" s="23">
        <f>IF($X461="","",$X461-$AL461)</f>
        <v/>
      </c>
      <c r="AN461" s="23">
        <f>IF(OR($AH461="",$Y461=""),"",N($AI461)-$Y461)</f>
        <v/>
      </c>
    </row>
    <row r="462">
      <c r="Q462" s="20" t="n"/>
      <c r="R462" s="20" t="n"/>
      <c r="S462" s="21" t="n"/>
      <c r="U462" s="21" t="n"/>
      <c r="V462" s="22" t="n"/>
      <c r="X462" s="23">
        <f>IF(OR($S462="",$R462=""),"",ROUND(MAX(0,IF($W462="Straight-line",IF(N($V462)&lt;=0,0,($S462-N($U462))*MIN($AJ462,$V462)/$V462),IF($W462="Reducing balance",MIN(($S462-N($U462)),$S462-$S462*(1-N($AG462))^INT($AJ462/12)*(1-N($AG462)*MOD($AJ462,12)/12)),IF($W462="DDB",IF(N($V462)&lt;=0,0,MIN(($S462-N($U462)),$S462-$S462*(1-MIN(1,24/$V462))^INT($AJ462/12)*(1-MIN(1,24/$V462)*MOD($AJ462,12)/12))),IF($W462="SYD",IF(N($V462)&lt;=0,0,($S462-N($U462))*(INT(MIN($AJ462,$V462)/12)*(2*($V462/12)-INT(MIN($AJ462,$V462)/12)+1)/2+MOD(MIN($AJ462,$V462),12)/12*(($V462/12)-INT(MIN($AJ462,$V462)/12)))/(($V462/12)*(($V462/12)+1)/2)),0))))),2))</f>
        <v/>
      </c>
      <c r="Y462" s="23">
        <f>IF($X462="","",$S462-$X462)</f>
        <v/>
      </c>
      <c r="AD462" s="20" t="n"/>
      <c r="AG462" s="24" t="n"/>
      <c r="AH462" s="20" t="n"/>
      <c r="AI462" s="21" t="n"/>
      <c r="AJ462" s="25">
        <f>IF($R462="","",IF($R462&gt;IF($AH462&lt;&gt;"",MIN($AH462,Settings!$B$3),Settings!$B$3),0,(YEAR(IF($AH462&lt;&gt;"",MIN($AH462,Settings!$B$3),Settings!$B$3))-YEAR($R462))*12+MONTH(IF($AH462&lt;&gt;"",MIN($AH462,Settings!$B$3),Settings!$B$3))-MONTH($R462)+1))</f>
        <v/>
      </c>
      <c r="AK462" s="25">
        <f>IF($R462="","",IF($R462&gt;MIN(Settings!$B$4-1,IF($AH462&lt;&gt;"",MIN($AH462,Settings!$B$3),Settings!$B$3)),0,(YEAR(MIN(Settings!$B$4-1,IF($AH462&lt;&gt;"",MIN($AH462,Settings!$B$3),Settings!$B$3)))-YEAR($R462))*12+MONTH(MIN(Settings!$B$4-1,IF($AH462&lt;&gt;"",MIN($AH462,Settings!$B$3),Settings!$B$3)))-MONTH($R462)+1))</f>
        <v/>
      </c>
      <c r="AL462" s="23">
        <f>IF(OR($S462="",$R462=""),"",ROUND(MAX(0,IF($W462="Straight-line",IF(N($V462)&lt;=0,0,($S462-N($U462))*MIN($AK462,$V462)/$V462),IF($W462="Reducing balance",MIN(($S462-N($U462)),$S462-$S462*(1-N($AG462))^INT($AK462/12)*(1-N($AG462)*MOD($AK462,12)/12)),IF($W462="DDB",IF(N($V462)&lt;=0,0,MIN(($S462-N($U462)),$S462-$S462*(1-MIN(1,24/$V462))^INT($AK462/12)*(1-MIN(1,24/$V462)*MOD($AK462,12)/12))),IF($W462="SYD",IF(N($V462)&lt;=0,0,($S462-N($U462))*(INT(MIN($AK462,$V462)/12)*(2*($V462/12)-INT(MIN($AK462,$V462)/12)+1)/2+MOD(MIN($AK462,$V462),12)/12*(($V462/12)-INT(MIN($AK462,$V462)/12)))/(($V462/12)*(($V462/12)+1)/2)),0))))),2))</f>
        <v/>
      </c>
      <c r="AM462" s="23">
        <f>IF($X462="","",$X462-$AL462)</f>
        <v/>
      </c>
      <c r="AN462" s="23">
        <f>IF(OR($AH462="",$Y462=""),"",N($AI462)-$Y462)</f>
        <v/>
      </c>
    </row>
    <row r="463">
      <c r="Q463" s="20" t="n"/>
      <c r="R463" s="20" t="n"/>
      <c r="S463" s="21" t="n"/>
      <c r="U463" s="21" t="n"/>
      <c r="V463" s="22" t="n"/>
      <c r="X463" s="23">
        <f>IF(OR($S463="",$R463=""),"",ROUND(MAX(0,IF($W463="Straight-line",IF(N($V463)&lt;=0,0,($S463-N($U463))*MIN($AJ463,$V463)/$V463),IF($W463="Reducing balance",MIN(($S463-N($U463)),$S463-$S463*(1-N($AG463))^INT($AJ463/12)*(1-N($AG463)*MOD($AJ463,12)/12)),IF($W463="DDB",IF(N($V463)&lt;=0,0,MIN(($S463-N($U463)),$S463-$S463*(1-MIN(1,24/$V463))^INT($AJ463/12)*(1-MIN(1,24/$V463)*MOD($AJ463,12)/12))),IF($W463="SYD",IF(N($V463)&lt;=0,0,($S463-N($U463))*(INT(MIN($AJ463,$V463)/12)*(2*($V463/12)-INT(MIN($AJ463,$V463)/12)+1)/2+MOD(MIN($AJ463,$V463),12)/12*(($V463/12)-INT(MIN($AJ463,$V463)/12)))/(($V463/12)*(($V463/12)+1)/2)),0))))),2))</f>
        <v/>
      </c>
      <c r="Y463" s="23">
        <f>IF($X463="","",$S463-$X463)</f>
        <v/>
      </c>
      <c r="AD463" s="20" t="n"/>
      <c r="AG463" s="24" t="n"/>
      <c r="AH463" s="20" t="n"/>
      <c r="AI463" s="21" t="n"/>
      <c r="AJ463" s="25">
        <f>IF($R463="","",IF($R463&gt;IF($AH463&lt;&gt;"",MIN($AH463,Settings!$B$3),Settings!$B$3),0,(YEAR(IF($AH463&lt;&gt;"",MIN($AH463,Settings!$B$3),Settings!$B$3))-YEAR($R463))*12+MONTH(IF($AH463&lt;&gt;"",MIN($AH463,Settings!$B$3),Settings!$B$3))-MONTH($R463)+1))</f>
        <v/>
      </c>
      <c r="AK463" s="25">
        <f>IF($R463="","",IF($R463&gt;MIN(Settings!$B$4-1,IF($AH463&lt;&gt;"",MIN($AH463,Settings!$B$3),Settings!$B$3)),0,(YEAR(MIN(Settings!$B$4-1,IF($AH463&lt;&gt;"",MIN($AH463,Settings!$B$3),Settings!$B$3)))-YEAR($R463))*12+MONTH(MIN(Settings!$B$4-1,IF($AH463&lt;&gt;"",MIN($AH463,Settings!$B$3),Settings!$B$3)))-MONTH($R463)+1))</f>
        <v/>
      </c>
      <c r="AL463" s="23">
        <f>IF(OR($S463="",$R463=""),"",ROUND(MAX(0,IF($W463="Straight-line",IF(N($V463)&lt;=0,0,($S463-N($U463))*MIN($AK463,$V463)/$V463),IF($W463="Reducing balance",MIN(($S463-N($U463)),$S463-$S463*(1-N($AG463))^INT($AK463/12)*(1-N($AG463)*MOD($AK463,12)/12)),IF($W463="DDB",IF(N($V463)&lt;=0,0,MIN(($S463-N($U463)),$S463-$S463*(1-MIN(1,24/$V463))^INT($AK463/12)*(1-MIN(1,24/$V463)*MOD($AK463,12)/12))),IF($W463="SYD",IF(N($V463)&lt;=0,0,($S463-N($U463))*(INT(MIN($AK463,$V463)/12)*(2*($V463/12)-INT(MIN($AK463,$V463)/12)+1)/2+MOD(MIN($AK463,$V463),12)/12*(($V463/12)-INT(MIN($AK463,$V463)/12)))/(($V463/12)*(($V463/12)+1)/2)),0))))),2))</f>
        <v/>
      </c>
      <c r="AM463" s="23">
        <f>IF($X463="","",$X463-$AL463)</f>
        <v/>
      </c>
      <c r="AN463" s="23">
        <f>IF(OR($AH463="",$Y463=""),"",N($AI463)-$Y463)</f>
        <v/>
      </c>
    </row>
    <row r="464">
      <c r="Q464" s="20" t="n"/>
      <c r="R464" s="20" t="n"/>
      <c r="S464" s="21" t="n"/>
      <c r="U464" s="21" t="n"/>
      <c r="V464" s="22" t="n"/>
      <c r="X464" s="23">
        <f>IF(OR($S464="",$R464=""),"",ROUND(MAX(0,IF($W464="Straight-line",IF(N($V464)&lt;=0,0,($S464-N($U464))*MIN($AJ464,$V464)/$V464),IF($W464="Reducing balance",MIN(($S464-N($U464)),$S464-$S464*(1-N($AG464))^INT($AJ464/12)*(1-N($AG464)*MOD($AJ464,12)/12)),IF($W464="DDB",IF(N($V464)&lt;=0,0,MIN(($S464-N($U464)),$S464-$S464*(1-MIN(1,24/$V464))^INT($AJ464/12)*(1-MIN(1,24/$V464)*MOD($AJ464,12)/12))),IF($W464="SYD",IF(N($V464)&lt;=0,0,($S464-N($U464))*(INT(MIN($AJ464,$V464)/12)*(2*($V464/12)-INT(MIN($AJ464,$V464)/12)+1)/2+MOD(MIN($AJ464,$V464),12)/12*(($V464/12)-INT(MIN($AJ464,$V464)/12)))/(($V464/12)*(($V464/12)+1)/2)),0))))),2))</f>
        <v/>
      </c>
      <c r="Y464" s="23">
        <f>IF($X464="","",$S464-$X464)</f>
        <v/>
      </c>
      <c r="AD464" s="20" t="n"/>
      <c r="AG464" s="24" t="n"/>
      <c r="AH464" s="20" t="n"/>
      <c r="AI464" s="21" t="n"/>
      <c r="AJ464" s="25">
        <f>IF($R464="","",IF($R464&gt;IF($AH464&lt;&gt;"",MIN($AH464,Settings!$B$3),Settings!$B$3),0,(YEAR(IF($AH464&lt;&gt;"",MIN($AH464,Settings!$B$3),Settings!$B$3))-YEAR($R464))*12+MONTH(IF($AH464&lt;&gt;"",MIN($AH464,Settings!$B$3),Settings!$B$3))-MONTH($R464)+1))</f>
        <v/>
      </c>
      <c r="AK464" s="25">
        <f>IF($R464="","",IF($R464&gt;MIN(Settings!$B$4-1,IF($AH464&lt;&gt;"",MIN($AH464,Settings!$B$3),Settings!$B$3)),0,(YEAR(MIN(Settings!$B$4-1,IF($AH464&lt;&gt;"",MIN($AH464,Settings!$B$3),Settings!$B$3)))-YEAR($R464))*12+MONTH(MIN(Settings!$B$4-1,IF($AH464&lt;&gt;"",MIN($AH464,Settings!$B$3),Settings!$B$3)))-MONTH($R464)+1))</f>
        <v/>
      </c>
      <c r="AL464" s="23">
        <f>IF(OR($S464="",$R464=""),"",ROUND(MAX(0,IF($W464="Straight-line",IF(N($V464)&lt;=0,0,($S464-N($U464))*MIN($AK464,$V464)/$V464),IF($W464="Reducing balance",MIN(($S464-N($U464)),$S464-$S464*(1-N($AG464))^INT($AK464/12)*(1-N($AG464)*MOD($AK464,12)/12)),IF($W464="DDB",IF(N($V464)&lt;=0,0,MIN(($S464-N($U464)),$S464-$S464*(1-MIN(1,24/$V464))^INT($AK464/12)*(1-MIN(1,24/$V464)*MOD($AK464,12)/12))),IF($W464="SYD",IF(N($V464)&lt;=0,0,($S464-N($U464))*(INT(MIN($AK464,$V464)/12)*(2*($V464/12)-INT(MIN($AK464,$V464)/12)+1)/2+MOD(MIN($AK464,$V464),12)/12*(($V464/12)-INT(MIN($AK464,$V464)/12)))/(($V464/12)*(($V464/12)+1)/2)),0))))),2))</f>
        <v/>
      </c>
      <c r="AM464" s="23">
        <f>IF($X464="","",$X464-$AL464)</f>
        <v/>
      </c>
      <c r="AN464" s="23">
        <f>IF(OR($AH464="",$Y464=""),"",N($AI464)-$Y464)</f>
        <v/>
      </c>
    </row>
    <row r="465">
      <c r="Q465" s="20" t="n"/>
      <c r="R465" s="20" t="n"/>
      <c r="S465" s="21" t="n"/>
      <c r="U465" s="21" t="n"/>
      <c r="V465" s="22" t="n"/>
      <c r="X465" s="23">
        <f>IF(OR($S465="",$R465=""),"",ROUND(MAX(0,IF($W465="Straight-line",IF(N($V465)&lt;=0,0,($S465-N($U465))*MIN($AJ465,$V465)/$V465),IF($W465="Reducing balance",MIN(($S465-N($U465)),$S465-$S465*(1-N($AG465))^INT($AJ465/12)*(1-N($AG465)*MOD($AJ465,12)/12)),IF($W465="DDB",IF(N($V465)&lt;=0,0,MIN(($S465-N($U465)),$S465-$S465*(1-MIN(1,24/$V465))^INT($AJ465/12)*(1-MIN(1,24/$V465)*MOD($AJ465,12)/12))),IF($W465="SYD",IF(N($V465)&lt;=0,0,($S465-N($U465))*(INT(MIN($AJ465,$V465)/12)*(2*($V465/12)-INT(MIN($AJ465,$V465)/12)+1)/2+MOD(MIN($AJ465,$V465),12)/12*(($V465/12)-INT(MIN($AJ465,$V465)/12)))/(($V465/12)*(($V465/12)+1)/2)),0))))),2))</f>
        <v/>
      </c>
      <c r="Y465" s="23">
        <f>IF($X465="","",$S465-$X465)</f>
        <v/>
      </c>
      <c r="AD465" s="20" t="n"/>
      <c r="AG465" s="24" t="n"/>
      <c r="AH465" s="20" t="n"/>
      <c r="AI465" s="21" t="n"/>
      <c r="AJ465" s="25">
        <f>IF($R465="","",IF($R465&gt;IF($AH465&lt;&gt;"",MIN($AH465,Settings!$B$3),Settings!$B$3),0,(YEAR(IF($AH465&lt;&gt;"",MIN($AH465,Settings!$B$3),Settings!$B$3))-YEAR($R465))*12+MONTH(IF($AH465&lt;&gt;"",MIN($AH465,Settings!$B$3),Settings!$B$3))-MONTH($R465)+1))</f>
        <v/>
      </c>
      <c r="AK465" s="25">
        <f>IF($R465="","",IF($R465&gt;MIN(Settings!$B$4-1,IF($AH465&lt;&gt;"",MIN($AH465,Settings!$B$3),Settings!$B$3)),0,(YEAR(MIN(Settings!$B$4-1,IF($AH465&lt;&gt;"",MIN($AH465,Settings!$B$3),Settings!$B$3)))-YEAR($R465))*12+MONTH(MIN(Settings!$B$4-1,IF($AH465&lt;&gt;"",MIN($AH465,Settings!$B$3),Settings!$B$3)))-MONTH($R465)+1))</f>
        <v/>
      </c>
      <c r="AL465" s="23">
        <f>IF(OR($S465="",$R465=""),"",ROUND(MAX(0,IF($W465="Straight-line",IF(N($V465)&lt;=0,0,($S465-N($U465))*MIN($AK465,$V465)/$V465),IF($W465="Reducing balance",MIN(($S465-N($U465)),$S465-$S465*(1-N($AG465))^INT($AK465/12)*(1-N($AG465)*MOD($AK465,12)/12)),IF($W465="DDB",IF(N($V465)&lt;=0,0,MIN(($S465-N($U465)),$S465-$S465*(1-MIN(1,24/$V465))^INT($AK465/12)*(1-MIN(1,24/$V465)*MOD($AK465,12)/12))),IF($W465="SYD",IF(N($V465)&lt;=0,0,($S465-N($U465))*(INT(MIN($AK465,$V465)/12)*(2*($V465/12)-INT(MIN($AK465,$V465)/12)+1)/2+MOD(MIN($AK465,$V465),12)/12*(($V465/12)-INT(MIN($AK465,$V465)/12)))/(($V465/12)*(($V465/12)+1)/2)),0))))),2))</f>
        <v/>
      </c>
      <c r="AM465" s="23">
        <f>IF($X465="","",$X465-$AL465)</f>
        <v/>
      </c>
      <c r="AN465" s="23">
        <f>IF(OR($AH465="",$Y465=""),"",N($AI465)-$Y465)</f>
        <v/>
      </c>
    </row>
    <row r="466">
      <c r="Q466" s="20" t="n"/>
      <c r="R466" s="20" t="n"/>
      <c r="S466" s="21" t="n"/>
      <c r="U466" s="21" t="n"/>
      <c r="V466" s="22" t="n"/>
      <c r="X466" s="23">
        <f>IF(OR($S466="",$R466=""),"",ROUND(MAX(0,IF($W466="Straight-line",IF(N($V466)&lt;=0,0,($S466-N($U466))*MIN($AJ466,$V466)/$V466),IF($W466="Reducing balance",MIN(($S466-N($U466)),$S466-$S466*(1-N($AG466))^INT($AJ466/12)*(1-N($AG466)*MOD($AJ466,12)/12)),IF($W466="DDB",IF(N($V466)&lt;=0,0,MIN(($S466-N($U466)),$S466-$S466*(1-MIN(1,24/$V466))^INT($AJ466/12)*(1-MIN(1,24/$V466)*MOD($AJ466,12)/12))),IF($W466="SYD",IF(N($V466)&lt;=0,0,($S466-N($U466))*(INT(MIN($AJ466,$V466)/12)*(2*($V466/12)-INT(MIN($AJ466,$V466)/12)+1)/2+MOD(MIN($AJ466,$V466),12)/12*(($V466/12)-INT(MIN($AJ466,$V466)/12)))/(($V466/12)*(($V466/12)+1)/2)),0))))),2))</f>
        <v/>
      </c>
      <c r="Y466" s="23">
        <f>IF($X466="","",$S466-$X466)</f>
        <v/>
      </c>
      <c r="AD466" s="20" t="n"/>
      <c r="AG466" s="24" t="n"/>
      <c r="AH466" s="20" t="n"/>
      <c r="AI466" s="21" t="n"/>
      <c r="AJ466" s="25">
        <f>IF($R466="","",IF($R466&gt;IF($AH466&lt;&gt;"",MIN($AH466,Settings!$B$3),Settings!$B$3),0,(YEAR(IF($AH466&lt;&gt;"",MIN($AH466,Settings!$B$3),Settings!$B$3))-YEAR($R466))*12+MONTH(IF($AH466&lt;&gt;"",MIN($AH466,Settings!$B$3),Settings!$B$3))-MONTH($R466)+1))</f>
        <v/>
      </c>
      <c r="AK466" s="25">
        <f>IF($R466="","",IF($R466&gt;MIN(Settings!$B$4-1,IF($AH466&lt;&gt;"",MIN($AH466,Settings!$B$3),Settings!$B$3)),0,(YEAR(MIN(Settings!$B$4-1,IF($AH466&lt;&gt;"",MIN($AH466,Settings!$B$3),Settings!$B$3)))-YEAR($R466))*12+MONTH(MIN(Settings!$B$4-1,IF($AH466&lt;&gt;"",MIN($AH466,Settings!$B$3),Settings!$B$3)))-MONTH($R466)+1))</f>
        <v/>
      </c>
      <c r="AL466" s="23">
        <f>IF(OR($S466="",$R466=""),"",ROUND(MAX(0,IF($W466="Straight-line",IF(N($V466)&lt;=0,0,($S466-N($U466))*MIN($AK466,$V466)/$V466),IF($W466="Reducing balance",MIN(($S466-N($U466)),$S466-$S466*(1-N($AG466))^INT($AK466/12)*(1-N($AG466)*MOD($AK466,12)/12)),IF($W466="DDB",IF(N($V466)&lt;=0,0,MIN(($S466-N($U466)),$S466-$S466*(1-MIN(1,24/$V466))^INT($AK466/12)*(1-MIN(1,24/$V466)*MOD($AK466,12)/12))),IF($W466="SYD",IF(N($V466)&lt;=0,0,($S466-N($U466))*(INT(MIN($AK466,$V466)/12)*(2*($V466/12)-INT(MIN($AK466,$V466)/12)+1)/2+MOD(MIN($AK466,$V466),12)/12*(($V466/12)-INT(MIN($AK466,$V466)/12)))/(($V466/12)*(($V466/12)+1)/2)),0))))),2))</f>
        <v/>
      </c>
      <c r="AM466" s="23">
        <f>IF($X466="","",$X466-$AL466)</f>
        <v/>
      </c>
      <c r="AN466" s="23">
        <f>IF(OR($AH466="",$Y466=""),"",N($AI466)-$Y466)</f>
        <v/>
      </c>
    </row>
    <row r="467">
      <c r="Q467" s="20" t="n"/>
      <c r="R467" s="20" t="n"/>
      <c r="S467" s="21" t="n"/>
      <c r="U467" s="21" t="n"/>
      <c r="V467" s="22" t="n"/>
      <c r="X467" s="23">
        <f>IF(OR($S467="",$R467=""),"",ROUND(MAX(0,IF($W467="Straight-line",IF(N($V467)&lt;=0,0,($S467-N($U467))*MIN($AJ467,$V467)/$V467),IF($W467="Reducing balance",MIN(($S467-N($U467)),$S467-$S467*(1-N($AG467))^INT($AJ467/12)*(1-N($AG467)*MOD($AJ467,12)/12)),IF($W467="DDB",IF(N($V467)&lt;=0,0,MIN(($S467-N($U467)),$S467-$S467*(1-MIN(1,24/$V467))^INT($AJ467/12)*(1-MIN(1,24/$V467)*MOD($AJ467,12)/12))),IF($W467="SYD",IF(N($V467)&lt;=0,0,($S467-N($U467))*(INT(MIN($AJ467,$V467)/12)*(2*($V467/12)-INT(MIN($AJ467,$V467)/12)+1)/2+MOD(MIN($AJ467,$V467),12)/12*(($V467/12)-INT(MIN($AJ467,$V467)/12)))/(($V467/12)*(($V467/12)+1)/2)),0))))),2))</f>
        <v/>
      </c>
      <c r="Y467" s="23">
        <f>IF($X467="","",$S467-$X467)</f>
        <v/>
      </c>
      <c r="AD467" s="20" t="n"/>
      <c r="AG467" s="24" t="n"/>
      <c r="AH467" s="20" t="n"/>
      <c r="AI467" s="21" t="n"/>
      <c r="AJ467" s="25">
        <f>IF($R467="","",IF($R467&gt;IF($AH467&lt;&gt;"",MIN($AH467,Settings!$B$3),Settings!$B$3),0,(YEAR(IF($AH467&lt;&gt;"",MIN($AH467,Settings!$B$3),Settings!$B$3))-YEAR($R467))*12+MONTH(IF($AH467&lt;&gt;"",MIN($AH467,Settings!$B$3),Settings!$B$3))-MONTH($R467)+1))</f>
        <v/>
      </c>
      <c r="AK467" s="25">
        <f>IF($R467="","",IF($R467&gt;MIN(Settings!$B$4-1,IF($AH467&lt;&gt;"",MIN($AH467,Settings!$B$3),Settings!$B$3)),0,(YEAR(MIN(Settings!$B$4-1,IF($AH467&lt;&gt;"",MIN($AH467,Settings!$B$3),Settings!$B$3)))-YEAR($R467))*12+MONTH(MIN(Settings!$B$4-1,IF($AH467&lt;&gt;"",MIN($AH467,Settings!$B$3),Settings!$B$3)))-MONTH($R467)+1))</f>
        <v/>
      </c>
      <c r="AL467" s="23">
        <f>IF(OR($S467="",$R467=""),"",ROUND(MAX(0,IF($W467="Straight-line",IF(N($V467)&lt;=0,0,($S467-N($U467))*MIN($AK467,$V467)/$V467),IF($W467="Reducing balance",MIN(($S467-N($U467)),$S467-$S467*(1-N($AG467))^INT($AK467/12)*(1-N($AG467)*MOD($AK467,12)/12)),IF($W467="DDB",IF(N($V467)&lt;=0,0,MIN(($S467-N($U467)),$S467-$S467*(1-MIN(1,24/$V467))^INT($AK467/12)*(1-MIN(1,24/$V467)*MOD($AK467,12)/12))),IF($W467="SYD",IF(N($V467)&lt;=0,0,($S467-N($U467))*(INT(MIN($AK467,$V467)/12)*(2*($V467/12)-INT(MIN($AK467,$V467)/12)+1)/2+MOD(MIN($AK467,$V467),12)/12*(($V467/12)-INT(MIN($AK467,$V467)/12)))/(($V467/12)*(($V467/12)+1)/2)),0))))),2))</f>
        <v/>
      </c>
      <c r="AM467" s="23">
        <f>IF($X467="","",$X467-$AL467)</f>
        <v/>
      </c>
      <c r="AN467" s="23">
        <f>IF(OR($AH467="",$Y467=""),"",N($AI467)-$Y467)</f>
        <v/>
      </c>
    </row>
    <row r="468">
      <c r="Q468" s="20" t="n"/>
      <c r="R468" s="20" t="n"/>
      <c r="S468" s="21" t="n"/>
      <c r="U468" s="21" t="n"/>
      <c r="V468" s="22" t="n"/>
      <c r="X468" s="23">
        <f>IF(OR($S468="",$R468=""),"",ROUND(MAX(0,IF($W468="Straight-line",IF(N($V468)&lt;=0,0,($S468-N($U468))*MIN($AJ468,$V468)/$V468),IF($W468="Reducing balance",MIN(($S468-N($U468)),$S468-$S468*(1-N($AG468))^INT($AJ468/12)*(1-N($AG468)*MOD($AJ468,12)/12)),IF($W468="DDB",IF(N($V468)&lt;=0,0,MIN(($S468-N($U468)),$S468-$S468*(1-MIN(1,24/$V468))^INT($AJ468/12)*(1-MIN(1,24/$V468)*MOD($AJ468,12)/12))),IF($W468="SYD",IF(N($V468)&lt;=0,0,($S468-N($U468))*(INT(MIN($AJ468,$V468)/12)*(2*($V468/12)-INT(MIN($AJ468,$V468)/12)+1)/2+MOD(MIN($AJ468,$V468),12)/12*(($V468/12)-INT(MIN($AJ468,$V468)/12)))/(($V468/12)*(($V468/12)+1)/2)),0))))),2))</f>
        <v/>
      </c>
      <c r="Y468" s="23">
        <f>IF($X468="","",$S468-$X468)</f>
        <v/>
      </c>
      <c r="AD468" s="20" t="n"/>
      <c r="AG468" s="24" t="n"/>
      <c r="AH468" s="20" t="n"/>
      <c r="AI468" s="21" t="n"/>
      <c r="AJ468" s="25">
        <f>IF($R468="","",IF($R468&gt;IF($AH468&lt;&gt;"",MIN($AH468,Settings!$B$3),Settings!$B$3),0,(YEAR(IF($AH468&lt;&gt;"",MIN($AH468,Settings!$B$3),Settings!$B$3))-YEAR($R468))*12+MONTH(IF($AH468&lt;&gt;"",MIN($AH468,Settings!$B$3),Settings!$B$3))-MONTH($R468)+1))</f>
        <v/>
      </c>
      <c r="AK468" s="25">
        <f>IF($R468="","",IF($R468&gt;MIN(Settings!$B$4-1,IF($AH468&lt;&gt;"",MIN($AH468,Settings!$B$3),Settings!$B$3)),0,(YEAR(MIN(Settings!$B$4-1,IF($AH468&lt;&gt;"",MIN($AH468,Settings!$B$3),Settings!$B$3)))-YEAR($R468))*12+MONTH(MIN(Settings!$B$4-1,IF($AH468&lt;&gt;"",MIN($AH468,Settings!$B$3),Settings!$B$3)))-MONTH($R468)+1))</f>
        <v/>
      </c>
      <c r="AL468" s="23">
        <f>IF(OR($S468="",$R468=""),"",ROUND(MAX(0,IF($W468="Straight-line",IF(N($V468)&lt;=0,0,($S468-N($U468))*MIN($AK468,$V468)/$V468),IF($W468="Reducing balance",MIN(($S468-N($U468)),$S468-$S468*(1-N($AG468))^INT($AK468/12)*(1-N($AG468)*MOD($AK468,12)/12)),IF($W468="DDB",IF(N($V468)&lt;=0,0,MIN(($S468-N($U468)),$S468-$S468*(1-MIN(1,24/$V468))^INT($AK468/12)*(1-MIN(1,24/$V468)*MOD($AK468,12)/12))),IF($W468="SYD",IF(N($V468)&lt;=0,0,($S468-N($U468))*(INT(MIN($AK468,$V468)/12)*(2*($V468/12)-INT(MIN($AK468,$V468)/12)+1)/2+MOD(MIN($AK468,$V468),12)/12*(($V468/12)-INT(MIN($AK468,$V468)/12)))/(($V468/12)*(($V468/12)+1)/2)),0))))),2))</f>
        <v/>
      </c>
      <c r="AM468" s="23">
        <f>IF($X468="","",$X468-$AL468)</f>
        <v/>
      </c>
      <c r="AN468" s="23">
        <f>IF(OR($AH468="",$Y468=""),"",N($AI468)-$Y468)</f>
        <v/>
      </c>
    </row>
    <row r="469">
      <c r="Q469" s="20" t="n"/>
      <c r="R469" s="20" t="n"/>
      <c r="S469" s="21" t="n"/>
      <c r="U469" s="21" t="n"/>
      <c r="V469" s="22" t="n"/>
      <c r="X469" s="23">
        <f>IF(OR($S469="",$R469=""),"",ROUND(MAX(0,IF($W469="Straight-line",IF(N($V469)&lt;=0,0,($S469-N($U469))*MIN($AJ469,$V469)/$V469),IF($W469="Reducing balance",MIN(($S469-N($U469)),$S469-$S469*(1-N($AG469))^INT($AJ469/12)*(1-N($AG469)*MOD($AJ469,12)/12)),IF($W469="DDB",IF(N($V469)&lt;=0,0,MIN(($S469-N($U469)),$S469-$S469*(1-MIN(1,24/$V469))^INT($AJ469/12)*(1-MIN(1,24/$V469)*MOD($AJ469,12)/12))),IF($W469="SYD",IF(N($V469)&lt;=0,0,($S469-N($U469))*(INT(MIN($AJ469,$V469)/12)*(2*($V469/12)-INT(MIN($AJ469,$V469)/12)+1)/2+MOD(MIN($AJ469,$V469),12)/12*(($V469/12)-INT(MIN($AJ469,$V469)/12)))/(($V469/12)*(($V469/12)+1)/2)),0))))),2))</f>
        <v/>
      </c>
      <c r="Y469" s="23">
        <f>IF($X469="","",$S469-$X469)</f>
        <v/>
      </c>
      <c r="AD469" s="20" t="n"/>
      <c r="AG469" s="24" t="n"/>
      <c r="AH469" s="20" t="n"/>
      <c r="AI469" s="21" t="n"/>
      <c r="AJ469" s="25">
        <f>IF($R469="","",IF($R469&gt;IF($AH469&lt;&gt;"",MIN($AH469,Settings!$B$3),Settings!$B$3),0,(YEAR(IF($AH469&lt;&gt;"",MIN($AH469,Settings!$B$3),Settings!$B$3))-YEAR($R469))*12+MONTH(IF($AH469&lt;&gt;"",MIN($AH469,Settings!$B$3),Settings!$B$3))-MONTH($R469)+1))</f>
        <v/>
      </c>
      <c r="AK469" s="25">
        <f>IF($R469="","",IF($R469&gt;MIN(Settings!$B$4-1,IF($AH469&lt;&gt;"",MIN($AH469,Settings!$B$3),Settings!$B$3)),0,(YEAR(MIN(Settings!$B$4-1,IF($AH469&lt;&gt;"",MIN($AH469,Settings!$B$3),Settings!$B$3)))-YEAR($R469))*12+MONTH(MIN(Settings!$B$4-1,IF($AH469&lt;&gt;"",MIN($AH469,Settings!$B$3),Settings!$B$3)))-MONTH($R469)+1))</f>
        <v/>
      </c>
      <c r="AL469" s="23">
        <f>IF(OR($S469="",$R469=""),"",ROUND(MAX(0,IF($W469="Straight-line",IF(N($V469)&lt;=0,0,($S469-N($U469))*MIN($AK469,$V469)/$V469),IF($W469="Reducing balance",MIN(($S469-N($U469)),$S469-$S469*(1-N($AG469))^INT($AK469/12)*(1-N($AG469)*MOD($AK469,12)/12)),IF($W469="DDB",IF(N($V469)&lt;=0,0,MIN(($S469-N($U469)),$S469-$S469*(1-MIN(1,24/$V469))^INT($AK469/12)*(1-MIN(1,24/$V469)*MOD($AK469,12)/12))),IF($W469="SYD",IF(N($V469)&lt;=0,0,($S469-N($U469))*(INT(MIN($AK469,$V469)/12)*(2*($V469/12)-INT(MIN($AK469,$V469)/12)+1)/2+MOD(MIN($AK469,$V469),12)/12*(($V469/12)-INT(MIN($AK469,$V469)/12)))/(($V469/12)*(($V469/12)+1)/2)),0))))),2))</f>
        <v/>
      </c>
      <c r="AM469" s="23">
        <f>IF($X469="","",$X469-$AL469)</f>
        <v/>
      </c>
      <c r="AN469" s="23">
        <f>IF(OR($AH469="",$Y469=""),"",N($AI469)-$Y469)</f>
        <v/>
      </c>
    </row>
    <row r="470">
      <c r="Q470" s="20" t="n"/>
      <c r="R470" s="20" t="n"/>
      <c r="S470" s="21" t="n"/>
      <c r="U470" s="21" t="n"/>
      <c r="V470" s="22" t="n"/>
      <c r="X470" s="23">
        <f>IF(OR($S470="",$R470=""),"",ROUND(MAX(0,IF($W470="Straight-line",IF(N($V470)&lt;=0,0,($S470-N($U470))*MIN($AJ470,$V470)/$V470),IF($W470="Reducing balance",MIN(($S470-N($U470)),$S470-$S470*(1-N($AG470))^INT($AJ470/12)*(1-N($AG470)*MOD($AJ470,12)/12)),IF($W470="DDB",IF(N($V470)&lt;=0,0,MIN(($S470-N($U470)),$S470-$S470*(1-MIN(1,24/$V470))^INT($AJ470/12)*(1-MIN(1,24/$V470)*MOD($AJ470,12)/12))),IF($W470="SYD",IF(N($V470)&lt;=0,0,($S470-N($U470))*(INT(MIN($AJ470,$V470)/12)*(2*($V470/12)-INT(MIN($AJ470,$V470)/12)+1)/2+MOD(MIN($AJ470,$V470),12)/12*(($V470/12)-INT(MIN($AJ470,$V470)/12)))/(($V470/12)*(($V470/12)+1)/2)),0))))),2))</f>
        <v/>
      </c>
      <c r="Y470" s="23">
        <f>IF($X470="","",$S470-$X470)</f>
        <v/>
      </c>
      <c r="AD470" s="20" t="n"/>
      <c r="AG470" s="24" t="n"/>
      <c r="AH470" s="20" t="n"/>
      <c r="AI470" s="21" t="n"/>
      <c r="AJ470" s="25">
        <f>IF($R470="","",IF($R470&gt;IF($AH470&lt;&gt;"",MIN($AH470,Settings!$B$3),Settings!$B$3),0,(YEAR(IF($AH470&lt;&gt;"",MIN($AH470,Settings!$B$3),Settings!$B$3))-YEAR($R470))*12+MONTH(IF($AH470&lt;&gt;"",MIN($AH470,Settings!$B$3),Settings!$B$3))-MONTH($R470)+1))</f>
        <v/>
      </c>
      <c r="AK470" s="25">
        <f>IF($R470="","",IF($R470&gt;MIN(Settings!$B$4-1,IF($AH470&lt;&gt;"",MIN($AH470,Settings!$B$3),Settings!$B$3)),0,(YEAR(MIN(Settings!$B$4-1,IF($AH470&lt;&gt;"",MIN($AH470,Settings!$B$3),Settings!$B$3)))-YEAR($R470))*12+MONTH(MIN(Settings!$B$4-1,IF($AH470&lt;&gt;"",MIN($AH470,Settings!$B$3),Settings!$B$3)))-MONTH($R470)+1))</f>
        <v/>
      </c>
      <c r="AL470" s="23">
        <f>IF(OR($S470="",$R470=""),"",ROUND(MAX(0,IF($W470="Straight-line",IF(N($V470)&lt;=0,0,($S470-N($U470))*MIN($AK470,$V470)/$V470),IF($W470="Reducing balance",MIN(($S470-N($U470)),$S470-$S470*(1-N($AG470))^INT($AK470/12)*(1-N($AG470)*MOD($AK470,12)/12)),IF($W470="DDB",IF(N($V470)&lt;=0,0,MIN(($S470-N($U470)),$S470-$S470*(1-MIN(1,24/$V470))^INT($AK470/12)*(1-MIN(1,24/$V470)*MOD($AK470,12)/12))),IF($W470="SYD",IF(N($V470)&lt;=0,0,($S470-N($U470))*(INT(MIN($AK470,$V470)/12)*(2*($V470/12)-INT(MIN($AK470,$V470)/12)+1)/2+MOD(MIN($AK470,$V470),12)/12*(($V470/12)-INT(MIN($AK470,$V470)/12)))/(($V470/12)*(($V470/12)+1)/2)),0))))),2))</f>
        <v/>
      </c>
      <c r="AM470" s="23">
        <f>IF($X470="","",$X470-$AL470)</f>
        <v/>
      </c>
      <c r="AN470" s="23">
        <f>IF(OR($AH470="",$Y470=""),"",N($AI470)-$Y470)</f>
        <v/>
      </c>
    </row>
    <row r="471">
      <c r="Q471" s="20" t="n"/>
      <c r="R471" s="20" t="n"/>
      <c r="S471" s="21" t="n"/>
      <c r="U471" s="21" t="n"/>
      <c r="V471" s="22" t="n"/>
      <c r="X471" s="23">
        <f>IF(OR($S471="",$R471=""),"",ROUND(MAX(0,IF($W471="Straight-line",IF(N($V471)&lt;=0,0,($S471-N($U471))*MIN($AJ471,$V471)/$V471),IF($W471="Reducing balance",MIN(($S471-N($U471)),$S471-$S471*(1-N($AG471))^INT($AJ471/12)*(1-N($AG471)*MOD($AJ471,12)/12)),IF($W471="DDB",IF(N($V471)&lt;=0,0,MIN(($S471-N($U471)),$S471-$S471*(1-MIN(1,24/$V471))^INT($AJ471/12)*(1-MIN(1,24/$V471)*MOD($AJ471,12)/12))),IF($W471="SYD",IF(N($V471)&lt;=0,0,($S471-N($U471))*(INT(MIN($AJ471,$V471)/12)*(2*($V471/12)-INT(MIN($AJ471,$V471)/12)+1)/2+MOD(MIN($AJ471,$V471),12)/12*(($V471/12)-INT(MIN($AJ471,$V471)/12)))/(($V471/12)*(($V471/12)+1)/2)),0))))),2))</f>
        <v/>
      </c>
      <c r="Y471" s="23">
        <f>IF($X471="","",$S471-$X471)</f>
        <v/>
      </c>
      <c r="AD471" s="20" t="n"/>
      <c r="AG471" s="24" t="n"/>
      <c r="AH471" s="20" t="n"/>
      <c r="AI471" s="21" t="n"/>
      <c r="AJ471" s="25">
        <f>IF($R471="","",IF($R471&gt;IF($AH471&lt;&gt;"",MIN($AH471,Settings!$B$3),Settings!$B$3),0,(YEAR(IF($AH471&lt;&gt;"",MIN($AH471,Settings!$B$3),Settings!$B$3))-YEAR($R471))*12+MONTH(IF($AH471&lt;&gt;"",MIN($AH471,Settings!$B$3),Settings!$B$3))-MONTH($R471)+1))</f>
        <v/>
      </c>
      <c r="AK471" s="25">
        <f>IF($R471="","",IF($R471&gt;MIN(Settings!$B$4-1,IF($AH471&lt;&gt;"",MIN($AH471,Settings!$B$3),Settings!$B$3)),0,(YEAR(MIN(Settings!$B$4-1,IF($AH471&lt;&gt;"",MIN($AH471,Settings!$B$3),Settings!$B$3)))-YEAR($R471))*12+MONTH(MIN(Settings!$B$4-1,IF($AH471&lt;&gt;"",MIN($AH471,Settings!$B$3),Settings!$B$3)))-MONTH($R471)+1))</f>
        <v/>
      </c>
      <c r="AL471" s="23">
        <f>IF(OR($S471="",$R471=""),"",ROUND(MAX(0,IF($W471="Straight-line",IF(N($V471)&lt;=0,0,($S471-N($U471))*MIN($AK471,$V471)/$V471),IF($W471="Reducing balance",MIN(($S471-N($U471)),$S471-$S471*(1-N($AG471))^INT($AK471/12)*(1-N($AG471)*MOD($AK471,12)/12)),IF($W471="DDB",IF(N($V471)&lt;=0,0,MIN(($S471-N($U471)),$S471-$S471*(1-MIN(1,24/$V471))^INT($AK471/12)*(1-MIN(1,24/$V471)*MOD($AK471,12)/12))),IF($W471="SYD",IF(N($V471)&lt;=0,0,($S471-N($U471))*(INT(MIN($AK471,$V471)/12)*(2*($V471/12)-INT(MIN($AK471,$V471)/12)+1)/2+MOD(MIN($AK471,$V471),12)/12*(($V471/12)-INT(MIN($AK471,$V471)/12)))/(($V471/12)*(($V471/12)+1)/2)),0))))),2))</f>
        <v/>
      </c>
      <c r="AM471" s="23">
        <f>IF($X471="","",$X471-$AL471)</f>
        <v/>
      </c>
      <c r="AN471" s="23">
        <f>IF(OR($AH471="",$Y471=""),"",N($AI471)-$Y471)</f>
        <v/>
      </c>
    </row>
    <row r="472">
      <c r="Q472" s="20" t="n"/>
      <c r="R472" s="20" t="n"/>
      <c r="S472" s="21" t="n"/>
      <c r="U472" s="21" t="n"/>
      <c r="V472" s="22" t="n"/>
      <c r="X472" s="23">
        <f>IF(OR($S472="",$R472=""),"",ROUND(MAX(0,IF($W472="Straight-line",IF(N($V472)&lt;=0,0,($S472-N($U472))*MIN($AJ472,$V472)/$V472),IF($W472="Reducing balance",MIN(($S472-N($U472)),$S472-$S472*(1-N($AG472))^INT($AJ472/12)*(1-N($AG472)*MOD($AJ472,12)/12)),IF($W472="DDB",IF(N($V472)&lt;=0,0,MIN(($S472-N($U472)),$S472-$S472*(1-MIN(1,24/$V472))^INT($AJ472/12)*(1-MIN(1,24/$V472)*MOD($AJ472,12)/12))),IF($W472="SYD",IF(N($V472)&lt;=0,0,($S472-N($U472))*(INT(MIN($AJ472,$V472)/12)*(2*($V472/12)-INT(MIN($AJ472,$V472)/12)+1)/2+MOD(MIN($AJ472,$V472),12)/12*(($V472/12)-INT(MIN($AJ472,$V472)/12)))/(($V472/12)*(($V472/12)+1)/2)),0))))),2))</f>
        <v/>
      </c>
      <c r="Y472" s="23">
        <f>IF($X472="","",$S472-$X472)</f>
        <v/>
      </c>
      <c r="AD472" s="20" t="n"/>
      <c r="AG472" s="24" t="n"/>
      <c r="AH472" s="20" t="n"/>
      <c r="AI472" s="21" t="n"/>
      <c r="AJ472" s="25">
        <f>IF($R472="","",IF($R472&gt;IF($AH472&lt;&gt;"",MIN($AH472,Settings!$B$3),Settings!$B$3),0,(YEAR(IF($AH472&lt;&gt;"",MIN($AH472,Settings!$B$3),Settings!$B$3))-YEAR($R472))*12+MONTH(IF($AH472&lt;&gt;"",MIN($AH472,Settings!$B$3),Settings!$B$3))-MONTH($R472)+1))</f>
        <v/>
      </c>
      <c r="AK472" s="25">
        <f>IF($R472="","",IF($R472&gt;MIN(Settings!$B$4-1,IF($AH472&lt;&gt;"",MIN($AH472,Settings!$B$3),Settings!$B$3)),0,(YEAR(MIN(Settings!$B$4-1,IF($AH472&lt;&gt;"",MIN($AH472,Settings!$B$3),Settings!$B$3)))-YEAR($R472))*12+MONTH(MIN(Settings!$B$4-1,IF($AH472&lt;&gt;"",MIN($AH472,Settings!$B$3),Settings!$B$3)))-MONTH($R472)+1))</f>
        <v/>
      </c>
      <c r="AL472" s="23">
        <f>IF(OR($S472="",$R472=""),"",ROUND(MAX(0,IF($W472="Straight-line",IF(N($V472)&lt;=0,0,($S472-N($U472))*MIN($AK472,$V472)/$V472),IF($W472="Reducing balance",MIN(($S472-N($U472)),$S472-$S472*(1-N($AG472))^INT($AK472/12)*(1-N($AG472)*MOD($AK472,12)/12)),IF($W472="DDB",IF(N($V472)&lt;=0,0,MIN(($S472-N($U472)),$S472-$S472*(1-MIN(1,24/$V472))^INT($AK472/12)*(1-MIN(1,24/$V472)*MOD($AK472,12)/12))),IF($W472="SYD",IF(N($V472)&lt;=0,0,($S472-N($U472))*(INT(MIN($AK472,$V472)/12)*(2*($V472/12)-INT(MIN($AK472,$V472)/12)+1)/2+MOD(MIN($AK472,$V472),12)/12*(($V472/12)-INT(MIN($AK472,$V472)/12)))/(($V472/12)*(($V472/12)+1)/2)),0))))),2))</f>
        <v/>
      </c>
      <c r="AM472" s="23">
        <f>IF($X472="","",$X472-$AL472)</f>
        <v/>
      </c>
      <c r="AN472" s="23">
        <f>IF(OR($AH472="",$Y472=""),"",N($AI472)-$Y472)</f>
        <v/>
      </c>
    </row>
    <row r="473">
      <c r="Q473" s="20" t="n"/>
      <c r="R473" s="20" t="n"/>
      <c r="S473" s="21" t="n"/>
      <c r="U473" s="21" t="n"/>
      <c r="V473" s="22" t="n"/>
      <c r="X473" s="23">
        <f>IF(OR($S473="",$R473=""),"",ROUND(MAX(0,IF($W473="Straight-line",IF(N($V473)&lt;=0,0,($S473-N($U473))*MIN($AJ473,$V473)/$V473),IF($W473="Reducing balance",MIN(($S473-N($U473)),$S473-$S473*(1-N($AG473))^INT($AJ473/12)*(1-N($AG473)*MOD($AJ473,12)/12)),IF($W473="DDB",IF(N($V473)&lt;=0,0,MIN(($S473-N($U473)),$S473-$S473*(1-MIN(1,24/$V473))^INT($AJ473/12)*(1-MIN(1,24/$V473)*MOD($AJ473,12)/12))),IF($W473="SYD",IF(N($V473)&lt;=0,0,($S473-N($U473))*(INT(MIN($AJ473,$V473)/12)*(2*($V473/12)-INT(MIN($AJ473,$V473)/12)+1)/2+MOD(MIN($AJ473,$V473),12)/12*(($V473/12)-INT(MIN($AJ473,$V473)/12)))/(($V473/12)*(($V473/12)+1)/2)),0))))),2))</f>
        <v/>
      </c>
      <c r="Y473" s="23">
        <f>IF($X473="","",$S473-$X473)</f>
        <v/>
      </c>
      <c r="AD473" s="20" t="n"/>
      <c r="AG473" s="24" t="n"/>
      <c r="AH473" s="20" t="n"/>
      <c r="AI473" s="21" t="n"/>
      <c r="AJ473" s="25">
        <f>IF($R473="","",IF($R473&gt;IF($AH473&lt;&gt;"",MIN($AH473,Settings!$B$3),Settings!$B$3),0,(YEAR(IF($AH473&lt;&gt;"",MIN($AH473,Settings!$B$3),Settings!$B$3))-YEAR($R473))*12+MONTH(IF($AH473&lt;&gt;"",MIN($AH473,Settings!$B$3),Settings!$B$3))-MONTH($R473)+1))</f>
        <v/>
      </c>
      <c r="AK473" s="25">
        <f>IF($R473="","",IF($R473&gt;MIN(Settings!$B$4-1,IF($AH473&lt;&gt;"",MIN($AH473,Settings!$B$3),Settings!$B$3)),0,(YEAR(MIN(Settings!$B$4-1,IF($AH473&lt;&gt;"",MIN($AH473,Settings!$B$3),Settings!$B$3)))-YEAR($R473))*12+MONTH(MIN(Settings!$B$4-1,IF($AH473&lt;&gt;"",MIN($AH473,Settings!$B$3),Settings!$B$3)))-MONTH($R473)+1))</f>
        <v/>
      </c>
      <c r="AL473" s="23">
        <f>IF(OR($S473="",$R473=""),"",ROUND(MAX(0,IF($W473="Straight-line",IF(N($V473)&lt;=0,0,($S473-N($U473))*MIN($AK473,$V473)/$V473),IF($W473="Reducing balance",MIN(($S473-N($U473)),$S473-$S473*(1-N($AG473))^INT($AK473/12)*(1-N($AG473)*MOD($AK473,12)/12)),IF($W473="DDB",IF(N($V473)&lt;=0,0,MIN(($S473-N($U473)),$S473-$S473*(1-MIN(1,24/$V473))^INT($AK473/12)*(1-MIN(1,24/$V473)*MOD($AK473,12)/12))),IF($W473="SYD",IF(N($V473)&lt;=0,0,($S473-N($U473))*(INT(MIN($AK473,$V473)/12)*(2*($V473/12)-INT(MIN($AK473,$V473)/12)+1)/2+MOD(MIN($AK473,$V473),12)/12*(($V473/12)-INT(MIN($AK473,$V473)/12)))/(($V473/12)*(($V473/12)+1)/2)),0))))),2))</f>
        <v/>
      </c>
      <c r="AM473" s="23">
        <f>IF($X473="","",$X473-$AL473)</f>
        <v/>
      </c>
      <c r="AN473" s="23">
        <f>IF(OR($AH473="",$Y473=""),"",N($AI473)-$Y473)</f>
        <v/>
      </c>
    </row>
    <row r="474">
      <c r="Q474" s="20" t="n"/>
      <c r="R474" s="20" t="n"/>
      <c r="S474" s="21" t="n"/>
      <c r="U474" s="21" t="n"/>
      <c r="V474" s="22" t="n"/>
      <c r="X474" s="23">
        <f>IF(OR($S474="",$R474=""),"",ROUND(MAX(0,IF($W474="Straight-line",IF(N($V474)&lt;=0,0,($S474-N($U474))*MIN($AJ474,$V474)/$V474),IF($W474="Reducing balance",MIN(($S474-N($U474)),$S474-$S474*(1-N($AG474))^INT($AJ474/12)*(1-N($AG474)*MOD($AJ474,12)/12)),IF($W474="DDB",IF(N($V474)&lt;=0,0,MIN(($S474-N($U474)),$S474-$S474*(1-MIN(1,24/$V474))^INT($AJ474/12)*(1-MIN(1,24/$V474)*MOD($AJ474,12)/12))),IF($W474="SYD",IF(N($V474)&lt;=0,0,($S474-N($U474))*(INT(MIN($AJ474,$V474)/12)*(2*($V474/12)-INT(MIN($AJ474,$V474)/12)+1)/2+MOD(MIN($AJ474,$V474),12)/12*(($V474/12)-INT(MIN($AJ474,$V474)/12)))/(($V474/12)*(($V474/12)+1)/2)),0))))),2))</f>
        <v/>
      </c>
      <c r="Y474" s="23">
        <f>IF($X474="","",$S474-$X474)</f>
        <v/>
      </c>
      <c r="AD474" s="20" t="n"/>
      <c r="AG474" s="24" t="n"/>
      <c r="AH474" s="20" t="n"/>
      <c r="AI474" s="21" t="n"/>
      <c r="AJ474" s="25">
        <f>IF($R474="","",IF($R474&gt;IF($AH474&lt;&gt;"",MIN($AH474,Settings!$B$3),Settings!$B$3),0,(YEAR(IF($AH474&lt;&gt;"",MIN($AH474,Settings!$B$3),Settings!$B$3))-YEAR($R474))*12+MONTH(IF($AH474&lt;&gt;"",MIN($AH474,Settings!$B$3),Settings!$B$3))-MONTH($R474)+1))</f>
        <v/>
      </c>
      <c r="AK474" s="25">
        <f>IF($R474="","",IF($R474&gt;MIN(Settings!$B$4-1,IF($AH474&lt;&gt;"",MIN($AH474,Settings!$B$3),Settings!$B$3)),0,(YEAR(MIN(Settings!$B$4-1,IF($AH474&lt;&gt;"",MIN($AH474,Settings!$B$3),Settings!$B$3)))-YEAR($R474))*12+MONTH(MIN(Settings!$B$4-1,IF($AH474&lt;&gt;"",MIN($AH474,Settings!$B$3),Settings!$B$3)))-MONTH($R474)+1))</f>
        <v/>
      </c>
      <c r="AL474" s="23">
        <f>IF(OR($S474="",$R474=""),"",ROUND(MAX(0,IF($W474="Straight-line",IF(N($V474)&lt;=0,0,($S474-N($U474))*MIN($AK474,$V474)/$V474),IF($W474="Reducing balance",MIN(($S474-N($U474)),$S474-$S474*(1-N($AG474))^INT($AK474/12)*(1-N($AG474)*MOD($AK474,12)/12)),IF($W474="DDB",IF(N($V474)&lt;=0,0,MIN(($S474-N($U474)),$S474-$S474*(1-MIN(1,24/$V474))^INT($AK474/12)*(1-MIN(1,24/$V474)*MOD($AK474,12)/12))),IF($W474="SYD",IF(N($V474)&lt;=0,0,($S474-N($U474))*(INT(MIN($AK474,$V474)/12)*(2*($V474/12)-INT(MIN($AK474,$V474)/12)+1)/2+MOD(MIN($AK474,$V474),12)/12*(($V474/12)-INT(MIN($AK474,$V474)/12)))/(($V474/12)*(($V474/12)+1)/2)),0))))),2))</f>
        <v/>
      </c>
      <c r="AM474" s="23">
        <f>IF($X474="","",$X474-$AL474)</f>
        <v/>
      </c>
      <c r="AN474" s="23">
        <f>IF(OR($AH474="",$Y474=""),"",N($AI474)-$Y474)</f>
        <v/>
      </c>
    </row>
    <row r="475">
      <c r="Q475" s="20" t="n"/>
      <c r="R475" s="20" t="n"/>
      <c r="S475" s="21" t="n"/>
      <c r="U475" s="21" t="n"/>
      <c r="V475" s="22" t="n"/>
      <c r="X475" s="23">
        <f>IF(OR($S475="",$R475=""),"",ROUND(MAX(0,IF($W475="Straight-line",IF(N($V475)&lt;=0,0,($S475-N($U475))*MIN($AJ475,$V475)/$V475),IF($W475="Reducing balance",MIN(($S475-N($U475)),$S475-$S475*(1-N($AG475))^INT($AJ475/12)*(1-N($AG475)*MOD($AJ475,12)/12)),IF($W475="DDB",IF(N($V475)&lt;=0,0,MIN(($S475-N($U475)),$S475-$S475*(1-MIN(1,24/$V475))^INT($AJ475/12)*(1-MIN(1,24/$V475)*MOD($AJ475,12)/12))),IF($W475="SYD",IF(N($V475)&lt;=0,0,($S475-N($U475))*(INT(MIN($AJ475,$V475)/12)*(2*($V475/12)-INT(MIN($AJ475,$V475)/12)+1)/2+MOD(MIN($AJ475,$V475),12)/12*(($V475/12)-INT(MIN($AJ475,$V475)/12)))/(($V475/12)*(($V475/12)+1)/2)),0))))),2))</f>
        <v/>
      </c>
      <c r="Y475" s="23">
        <f>IF($X475="","",$S475-$X475)</f>
        <v/>
      </c>
      <c r="AD475" s="20" t="n"/>
      <c r="AG475" s="24" t="n"/>
      <c r="AH475" s="20" t="n"/>
      <c r="AI475" s="21" t="n"/>
      <c r="AJ475" s="25">
        <f>IF($R475="","",IF($R475&gt;IF($AH475&lt;&gt;"",MIN($AH475,Settings!$B$3),Settings!$B$3),0,(YEAR(IF($AH475&lt;&gt;"",MIN($AH475,Settings!$B$3),Settings!$B$3))-YEAR($R475))*12+MONTH(IF($AH475&lt;&gt;"",MIN($AH475,Settings!$B$3),Settings!$B$3))-MONTH($R475)+1))</f>
        <v/>
      </c>
      <c r="AK475" s="25">
        <f>IF($R475="","",IF($R475&gt;MIN(Settings!$B$4-1,IF($AH475&lt;&gt;"",MIN($AH475,Settings!$B$3),Settings!$B$3)),0,(YEAR(MIN(Settings!$B$4-1,IF($AH475&lt;&gt;"",MIN($AH475,Settings!$B$3),Settings!$B$3)))-YEAR($R475))*12+MONTH(MIN(Settings!$B$4-1,IF($AH475&lt;&gt;"",MIN($AH475,Settings!$B$3),Settings!$B$3)))-MONTH($R475)+1))</f>
        <v/>
      </c>
      <c r="AL475" s="23">
        <f>IF(OR($S475="",$R475=""),"",ROUND(MAX(0,IF($W475="Straight-line",IF(N($V475)&lt;=0,0,($S475-N($U475))*MIN($AK475,$V475)/$V475),IF($W475="Reducing balance",MIN(($S475-N($U475)),$S475-$S475*(1-N($AG475))^INT($AK475/12)*(1-N($AG475)*MOD($AK475,12)/12)),IF($W475="DDB",IF(N($V475)&lt;=0,0,MIN(($S475-N($U475)),$S475-$S475*(1-MIN(1,24/$V475))^INT($AK475/12)*(1-MIN(1,24/$V475)*MOD($AK475,12)/12))),IF($W475="SYD",IF(N($V475)&lt;=0,0,($S475-N($U475))*(INT(MIN($AK475,$V475)/12)*(2*($V475/12)-INT(MIN($AK475,$V475)/12)+1)/2+MOD(MIN($AK475,$V475),12)/12*(($V475/12)-INT(MIN($AK475,$V475)/12)))/(($V475/12)*(($V475/12)+1)/2)),0))))),2))</f>
        <v/>
      </c>
      <c r="AM475" s="23">
        <f>IF($X475="","",$X475-$AL475)</f>
        <v/>
      </c>
      <c r="AN475" s="23">
        <f>IF(OR($AH475="",$Y475=""),"",N($AI475)-$Y475)</f>
        <v/>
      </c>
    </row>
    <row r="476">
      <c r="Q476" s="20" t="n"/>
      <c r="R476" s="20" t="n"/>
      <c r="S476" s="21" t="n"/>
      <c r="U476" s="21" t="n"/>
      <c r="V476" s="22" t="n"/>
      <c r="X476" s="23">
        <f>IF(OR($S476="",$R476=""),"",ROUND(MAX(0,IF($W476="Straight-line",IF(N($V476)&lt;=0,0,($S476-N($U476))*MIN($AJ476,$V476)/$V476),IF($W476="Reducing balance",MIN(($S476-N($U476)),$S476-$S476*(1-N($AG476))^INT($AJ476/12)*(1-N($AG476)*MOD($AJ476,12)/12)),IF($W476="DDB",IF(N($V476)&lt;=0,0,MIN(($S476-N($U476)),$S476-$S476*(1-MIN(1,24/$V476))^INT($AJ476/12)*(1-MIN(1,24/$V476)*MOD($AJ476,12)/12))),IF($W476="SYD",IF(N($V476)&lt;=0,0,($S476-N($U476))*(INT(MIN($AJ476,$V476)/12)*(2*($V476/12)-INT(MIN($AJ476,$V476)/12)+1)/2+MOD(MIN($AJ476,$V476),12)/12*(($V476/12)-INT(MIN($AJ476,$V476)/12)))/(($V476/12)*(($V476/12)+1)/2)),0))))),2))</f>
        <v/>
      </c>
      <c r="Y476" s="23">
        <f>IF($X476="","",$S476-$X476)</f>
        <v/>
      </c>
      <c r="AD476" s="20" t="n"/>
      <c r="AG476" s="24" t="n"/>
      <c r="AH476" s="20" t="n"/>
      <c r="AI476" s="21" t="n"/>
      <c r="AJ476" s="25">
        <f>IF($R476="","",IF($R476&gt;IF($AH476&lt;&gt;"",MIN($AH476,Settings!$B$3),Settings!$B$3),0,(YEAR(IF($AH476&lt;&gt;"",MIN($AH476,Settings!$B$3),Settings!$B$3))-YEAR($R476))*12+MONTH(IF($AH476&lt;&gt;"",MIN($AH476,Settings!$B$3),Settings!$B$3))-MONTH($R476)+1))</f>
        <v/>
      </c>
      <c r="AK476" s="25">
        <f>IF($R476="","",IF($R476&gt;MIN(Settings!$B$4-1,IF($AH476&lt;&gt;"",MIN($AH476,Settings!$B$3),Settings!$B$3)),0,(YEAR(MIN(Settings!$B$4-1,IF($AH476&lt;&gt;"",MIN($AH476,Settings!$B$3),Settings!$B$3)))-YEAR($R476))*12+MONTH(MIN(Settings!$B$4-1,IF($AH476&lt;&gt;"",MIN($AH476,Settings!$B$3),Settings!$B$3)))-MONTH($R476)+1))</f>
        <v/>
      </c>
      <c r="AL476" s="23">
        <f>IF(OR($S476="",$R476=""),"",ROUND(MAX(0,IF($W476="Straight-line",IF(N($V476)&lt;=0,0,($S476-N($U476))*MIN($AK476,$V476)/$V476),IF($W476="Reducing balance",MIN(($S476-N($U476)),$S476-$S476*(1-N($AG476))^INT($AK476/12)*(1-N($AG476)*MOD($AK476,12)/12)),IF($W476="DDB",IF(N($V476)&lt;=0,0,MIN(($S476-N($U476)),$S476-$S476*(1-MIN(1,24/$V476))^INT($AK476/12)*(1-MIN(1,24/$V476)*MOD($AK476,12)/12))),IF($W476="SYD",IF(N($V476)&lt;=0,0,($S476-N($U476))*(INT(MIN($AK476,$V476)/12)*(2*($V476/12)-INT(MIN($AK476,$V476)/12)+1)/2+MOD(MIN($AK476,$V476),12)/12*(($V476/12)-INT(MIN($AK476,$V476)/12)))/(($V476/12)*(($V476/12)+1)/2)),0))))),2))</f>
        <v/>
      </c>
      <c r="AM476" s="23">
        <f>IF($X476="","",$X476-$AL476)</f>
        <v/>
      </c>
      <c r="AN476" s="23">
        <f>IF(OR($AH476="",$Y476=""),"",N($AI476)-$Y476)</f>
        <v/>
      </c>
    </row>
    <row r="477">
      <c r="Q477" s="20" t="n"/>
      <c r="R477" s="20" t="n"/>
      <c r="S477" s="21" t="n"/>
      <c r="U477" s="21" t="n"/>
      <c r="V477" s="22" t="n"/>
      <c r="X477" s="23">
        <f>IF(OR($S477="",$R477=""),"",ROUND(MAX(0,IF($W477="Straight-line",IF(N($V477)&lt;=0,0,($S477-N($U477))*MIN($AJ477,$V477)/$V477),IF($W477="Reducing balance",MIN(($S477-N($U477)),$S477-$S477*(1-N($AG477))^INT($AJ477/12)*(1-N($AG477)*MOD($AJ477,12)/12)),IF($W477="DDB",IF(N($V477)&lt;=0,0,MIN(($S477-N($U477)),$S477-$S477*(1-MIN(1,24/$V477))^INT($AJ477/12)*(1-MIN(1,24/$V477)*MOD($AJ477,12)/12))),IF($W477="SYD",IF(N($V477)&lt;=0,0,($S477-N($U477))*(INT(MIN($AJ477,$V477)/12)*(2*($V477/12)-INT(MIN($AJ477,$V477)/12)+1)/2+MOD(MIN($AJ477,$V477),12)/12*(($V477/12)-INT(MIN($AJ477,$V477)/12)))/(($V477/12)*(($V477/12)+1)/2)),0))))),2))</f>
        <v/>
      </c>
      <c r="Y477" s="23">
        <f>IF($X477="","",$S477-$X477)</f>
        <v/>
      </c>
      <c r="AD477" s="20" t="n"/>
      <c r="AG477" s="24" t="n"/>
      <c r="AH477" s="20" t="n"/>
      <c r="AI477" s="21" t="n"/>
      <c r="AJ477" s="25">
        <f>IF($R477="","",IF($R477&gt;IF($AH477&lt;&gt;"",MIN($AH477,Settings!$B$3),Settings!$B$3),0,(YEAR(IF($AH477&lt;&gt;"",MIN($AH477,Settings!$B$3),Settings!$B$3))-YEAR($R477))*12+MONTH(IF($AH477&lt;&gt;"",MIN($AH477,Settings!$B$3),Settings!$B$3))-MONTH($R477)+1))</f>
        <v/>
      </c>
      <c r="AK477" s="25">
        <f>IF($R477="","",IF($R477&gt;MIN(Settings!$B$4-1,IF($AH477&lt;&gt;"",MIN($AH477,Settings!$B$3),Settings!$B$3)),0,(YEAR(MIN(Settings!$B$4-1,IF($AH477&lt;&gt;"",MIN($AH477,Settings!$B$3),Settings!$B$3)))-YEAR($R477))*12+MONTH(MIN(Settings!$B$4-1,IF($AH477&lt;&gt;"",MIN($AH477,Settings!$B$3),Settings!$B$3)))-MONTH($R477)+1))</f>
        <v/>
      </c>
      <c r="AL477" s="23">
        <f>IF(OR($S477="",$R477=""),"",ROUND(MAX(0,IF($W477="Straight-line",IF(N($V477)&lt;=0,0,($S477-N($U477))*MIN($AK477,$V477)/$V477),IF($W477="Reducing balance",MIN(($S477-N($U477)),$S477-$S477*(1-N($AG477))^INT($AK477/12)*(1-N($AG477)*MOD($AK477,12)/12)),IF($W477="DDB",IF(N($V477)&lt;=0,0,MIN(($S477-N($U477)),$S477-$S477*(1-MIN(1,24/$V477))^INT($AK477/12)*(1-MIN(1,24/$V477)*MOD($AK477,12)/12))),IF($W477="SYD",IF(N($V477)&lt;=0,0,($S477-N($U477))*(INT(MIN($AK477,$V477)/12)*(2*($V477/12)-INT(MIN($AK477,$V477)/12)+1)/2+MOD(MIN($AK477,$V477),12)/12*(($V477/12)-INT(MIN($AK477,$V477)/12)))/(($V477/12)*(($V477/12)+1)/2)),0))))),2))</f>
        <v/>
      </c>
      <c r="AM477" s="23">
        <f>IF($X477="","",$X477-$AL477)</f>
        <v/>
      </c>
      <c r="AN477" s="23">
        <f>IF(OR($AH477="",$Y477=""),"",N($AI477)-$Y477)</f>
        <v/>
      </c>
    </row>
    <row r="478">
      <c r="Q478" s="20" t="n"/>
      <c r="R478" s="20" t="n"/>
      <c r="S478" s="21" t="n"/>
      <c r="U478" s="21" t="n"/>
      <c r="V478" s="22" t="n"/>
      <c r="X478" s="23">
        <f>IF(OR($S478="",$R478=""),"",ROUND(MAX(0,IF($W478="Straight-line",IF(N($V478)&lt;=0,0,($S478-N($U478))*MIN($AJ478,$V478)/$V478),IF($W478="Reducing balance",MIN(($S478-N($U478)),$S478-$S478*(1-N($AG478))^INT($AJ478/12)*(1-N($AG478)*MOD($AJ478,12)/12)),IF($W478="DDB",IF(N($V478)&lt;=0,0,MIN(($S478-N($U478)),$S478-$S478*(1-MIN(1,24/$V478))^INT($AJ478/12)*(1-MIN(1,24/$V478)*MOD($AJ478,12)/12))),IF($W478="SYD",IF(N($V478)&lt;=0,0,($S478-N($U478))*(INT(MIN($AJ478,$V478)/12)*(2*($V478/12)-INT(MIN($AJ478,$V478)/12)+1)/2+MOD(MIN($AJ478,$V478),12)/12*(($V478/12)-INT(MIN($AJ478,$V478)/12)))/(($V478/12)*(($V478/12)+1)/2)),0))))),2))</f>
        <v/>
      </c>
      <c r="Y478" s="23">
        <f>IF($X478="","",$S478-$X478)</f>
        <v/>
      </c>
      <c r="AD478" s="20" t="n"/>
      <c r="AG478" s="24" t="n"/>
      <c r="AH478" s="20" t="n"/>
      <c r="AI478" s="21" t="n"/>
      <c r="AJ478" s="25">
        <f>IF($R478="","",IF($R478&gt;IF($AH478&lt;&gt;"",MIN($AH478,Settings!$B$3),Settings!$B$3),0,(YEAR(IF($AH478&lt;&gt;"",MIN($AH478,Settings!$B$3),Settings!$B$3))-YEAR($R478))*12+MONTH(IF($AH478&lt;&gt;"",MIN($AH478,Settings!$B$3),Settings!$B$3))-MONTH($R478)+1))</f>
        <v/>
      </c>
      <c r="AK478" s="25">
        <f>IF($R478="","",IF($R478&gt;MIN(Settings!$B$4-1,IF($AH478&lt;&gt;"",MIN($AH478,Settings!$B$3),Settings!$B$3)),0,(YEAR(MIN(Settings!$B$4-1,IF($AH478&lt;&gt;"",MIN($AH478,Settings!$B$3),Settings!$B$3)))-YEAR($R478))*12+MONTH(MIN(Settings!$B$4-1,IF($AH478&lt;&gt;"",MIN($AH478,Settings!$B$3),Settings!$B$3)))-MONTH($R478)+1))</f>
        <v/>
      </c>
      <c r="AL478" s="23">
        <f>IF(OR($S478="",$R478=""),"",ROUND(MAX(0,IF($W478="Straight-line",IF(N($V478)&lt;=0,0,($S478-N($U478))*MIN($AK478,$V478)/$V478),IF($W478="Reducing balance",MIN(($S478-N($U478)),$S478-$S478*(1-N($AG478))^INT($AK478/12)*(1-N($AG478)*MOD($AK478,12)/12)),IF($W478="DDB",IF(N($V478)&lt;=0,0,MIN(($S478-N($U478)),$S478-$S478*(1-MIN(1,24/$V478))^INT($AK478/12)*(1-MIN(1,24/$V478)*MOD($AK478,12)/12))),IF($W478="SYD",IF(N($V478)&lt;=0,0,($S478-N($U478))*(INT(MIN($AK478,$V478)/12)*(2*($V478/12)-INT(MIN($AK478,$V478)/12)+1)/2+MOD(MIN($AK478,$V478),12)/12*(($V478/12)-INT(MIN($AK478,$V478)/12)))/(($V478/12)*(($V478/12)+1)/2)),0))))),2))</f>
        <v/>
      </c>
      <c r="AM478" s="23">
        <f>IF($X478="","",$X478-$AL478)</f>
        <v/>
      </c>
      <c r="AN478" s="23">
        <f>IF(OR($AH478="",$Y478=""),"",N($AI478)-$Y478)</f>
        <v/>
      </c>
    </row>
    <row r="479">
      <c r="Q479" s="20" t="n"/>
      <c r="R479" s="20" t="n"/>
      <c r="S479" s="21" t="n"/>
      <c r="U479" s="21" t="n"/>
      <c r="V479" s="22" t="n"/>
      <c r="X479" s="23">
        <f>IF(OR($S479="",$R479=""),"",ROUND(MAX(0,IF($W479="Straight-line",IF(N($V479)&lt;=0,0,($S479-N($U479))*MIN($AJ479,$V479)/$V479),IF($W479="Reducing balance",MIN(($S479-N($U479)),$S479-$S479*(1-N($AG479))^INT($AJ479/12)*(1-N($AG479)*MOD($AJ479,12)/12)),IF($W479="DDB",IF(N($V479)&lt;=0,0,MIN(($S479-N($U479)),$S479-$S479*(1-MIN(1,24/$V479))^INT($AJ479/12)*(1-MIN(1,24/$V479)*MOD($AJ479,12)/12))),IF($W479="SYD",IF(N($V479)&lt;=0,0,($S479-N($U479))*(INT(MIN($AJ479,$V479)/12)*(2*($V479/12)-INT(MIN($AJ479,$V479)/12)+1)/2+MOD(MIN($AJ479,$V479),12)/12*(($V479/12)-INT(MIN($AJ479,$V479)/12)))/(($V479/12)*(($V479/12)+1)/2)),0))))),2))</f>
        <v/>
      </c>
      <c r="Y479" s="23">
        <f>IF($X479="","",$S479-$X479)</f>
        <v/>
      </c>
      <c r="AD479" s="20" t="n"/>
      <c r="AG479" s="24" t="n"/>
      <c r="AH479" s="20" t="n"/>
      <c r="AI479" s="21" t="n"/>
      <c r="AJ479" s="25">
        <f>IF($R479="","",IF($R479&gt;IF($AH479&lt;&gt;"",MIN($AH479,Settings!$B$3),Settings!$B$3),0,(YEAR(IF($AH479&lt;&gt;"",MIN($AH479,Settings!$B$3),Settings!$B$3))-YEAR($R479))*12+MONTH(IF($AH479&lt;&gt;"",MIN($AH479,Settings!$B$3),Settings!$B$3))-MONTH($R479)+1))</f>
        <v/>
      </c>
      <c r="AK479" s="25">
        <f>IF($R479="","",IF($R479&gt;MIN(Settings!$B$4-1,IF($AH479&lt;&gt;"",MIN($AH479,Settings!$B$3),Settings!$B$3)),0,(YEAR(MIN(Settings!$B$4-1,IF($AH479&lt;&gt;"",MIN($AH479,Settings!$B$3),Settings!$B$3)))-YEAR($R479))*12+MONTH(MIN(Settings!$B$4-1,IF($AH479&lt;&gt;"",MIN($AH479,Settings!$B$3),Settings!$B$3)))-MONTH($R479)+1))</f>
        <v/>
      </c>
      <c r="AL479" s="23">
        <f>IF(OR($S479="",$R479=""),"",ROUND(MAX(0,IF($W479="Straight-line",IF(N($V479)&lt;=0,0,($S479-N($U479))*MIN($AK479,$V479)/$V479),IF($W479="Reducing balance",MIN(($S479-N($U479)),$S479-$S479*(1-N($AG479))^INT($AK479/12)*(1-N($AG479)*MOD($AK479,12)/12)),IF($W479="DDB",IF(N($V479)&lt;=0,0,MIN(($S479-N($U479)),$S479-$S479*(1-MIN(1,24/$V479))^INT($AK479/12)*(1-MIN(1,24/$V479)*MOD($AK479,12)/12))),IF($W479="SYD",IF(N($V479)&lt;=0,0,($S479-N($U479))*(INT(MIN($AK479,$V479)/12)*(2*($V479/12)-INT(MIN($AK479,$V479)/12)+1)/2+MOD(MIN($AK479,$V479),12)/12*(($V479/12)-INT(MIN($AK479,$V479)/12)))/(($V479/12)*(($V479/12)+1)/2)),0))))),2))</f>
        <v/>
      </c>
      <c r="AM479" s="23">
        <f>IF($X479="","",$X479-$AL479)</f>
        <v/>
      </c>
      <c r="AN479" s="23">
        <f>IF(OR($AH479="",$Y479=""),"",N($AI479)-$Y479)</f>
        <v/>
      </c>
    </row>
    <row r="480">
      <c r="Q480" s="20" t="n"/>
      <c r="R480" s="20" t="n"/>
      <c r="S480" s="21" t="n"/>
      <c r="U480" s="21" t="n"/>
      <c r="V480" s="22" t="n"/>
      <c r="X480" s="23">
        <f>IF(OR($S480="",$R480=""),"",ROUND(MAX(0,IF($W480="Straight-line",IF(N($V480)&lt;=0,0,($S480-N($U480))*MIN($AJ480,$V480)/$V480),IF($W480="Reducing balance",MIN(($S480-N($U480)),$S480-$S480*(1-N($AG480))^INT($AJ480/12)*(1-N($AG480)*MOD($AJ480,12)/12)),IF($W480="DDB",IF(N($V480)&lt;=0,0,MIN(($S480-N($U480)),$S480-$S480*(1-MIN(1,24/$V480))^INT($AJ480/12)*(1-MIN(1,24/$V480)*MOD($AJ480,12)/12))),IF($W480="SYD",IF(N($V480)&lt;=0,0,($S480-N($U480))*(INT(MIN($AJ480,$V480)/12)*(2*($V480/12)-INT(MIN($AJ480,$V480)/12)+1)/2+MOD(MIN($AJ480,$V480),12)/12*(($V480/12)-INT(MIN($AJ480,$V480)/12)))/(($V480/12)*(($V480/12)+1)/2)),0))))),2))</f>
        <v/>
      </c>
      <c r="Y480" s="23">
        <f>IF($X480="","",$S480-$X480)</f>
        <v/>
      </c>
      <c r="AD480" s="20" t="n"/>
      <c r="AG480" s="24" t="n"/>
      <c r="AH480" s="20" t="n"/>
      <c r="AI480" s="21" t="n"/>
      <c r="AJ480" s="25">
        <f>IF($R480="","",IF($R480&gt;IF($AH480&lt;&gt;"",MIN($AH480,Settings!$B$3),Settings!$B$3),0,(YEAR(IF($AH480&lt;&gt;"",MIN($AH480,Settings!$B$3),Settings!$B$3))-YEAR($R480))*12+MONTH(IF($AH480&lt;&gt;"",MIN($AH480,Settings!$B$3),Settings!$B$3))-MONTH($R480)+1))</f>
        <v/>
      </c>
      <c r="AK480" s="25">
        <f>IF($R480="","",IF($R480&gt;MIN(Settings!$B$4-1,IF($AH480&lt;&gt;"",MIN($AH480,Settings!$B$3),Settings!$B$3)),0,(YEAR(MIN(Settings!$B$4-1,IF($AH480&lt;&gt;"",MIN($AH480,Settings!$B$3),Settings!$B$3)))-YEAR($R480))*12+MONTH(MIN(Settings!$B$4-1,IF($AH480&lt;&gt;"",MIN($AH480,Settings!$B$3),Settings!$B$3)))-MONTH($R480)+1))</f>
        <v/>
      </c>
      <c r="AL480" s="23">
        <f>IF(OR($S480="",$R480=""),"",ROUND(MAX(0,IF($W480="Straight-line",IF(N($V480)&lt;=0,0,($S480-N($U480))*MIN($AK480,$V480)/$V480),IF($W480="Reducing balance",MIN(($S480-N($U480)),$S480-$S480*(1-N($AG480))^INT($AK480/12)*(1-N($AG480)*MOD($AK480,12)/12)),IF($W480="DDB",IF(N($V480)&lt;=0,0,MIN(($S480-N($U480)),$S480-$S480*(1-MIN(1,24/$V480))^INT($AK480/12)*(1-MIN(1,24/$V480)*MOD($AK480,12)/12))),IF($W480="SYD",IF(N($V480)&lt;=0,0,($S480-N($U480))*(INT(MIN($AK480,$V480)/12)*(2*($V480/12)-INT(MIN($AK480,$V480)/12)+1)/2+MOD(MIN($AK480,$V480),12)/12*(($V480/12)-INT(MIN($AK480,$V480)/12)))/(($V480/12)*(($V480/12)+1)/2)),0))))),2))</f>
        <v/>
      </c>
      <c r="AM480" s="23">
        <f>IF($X480="","",$X480-$AL480)</f>
        <v/>
      </c>
      <c r="AN480" s="23">
        <f>IF(OR($AH480="",$Y480=""),"",N($AI480)-$Y480)</f>
        <v/>
      </c>
    </row>
    <row r="481">
      <c r="Q481" s="20" t="n"/>
      <c r="R481" s="20" t="n"/>
      <c r="S481" s="21" t="n"/>
      <c r="U481" s="21" t="n"/>
      <c r="V481" s="22" t="n"/>
      <c r="X481" s="23">
        <f>IF(OR($S481="",$R481=""),"",ROUND(MAX(0,IF($W481="Straight-line",IF(N($V481)&lt;=0,0,($S481-N($U481))*MIN($AJ481,$V481)/$V481),IF($W481="Reducing balance",MIN(($S481-N($U481)),$S481-$S481*(1-N($AG481))^INT($AJ481/12)*(1-N($AG481)*MOD($AJ481,12)/12)),IF($W481="DDB",IF(N($V481)&lt;=0,0,MIN(($S481-N($U481)),$S481-$S481*(1-MIN(1,24/$V481))^INT($AJ481/12)*(1-MIN(1,24/$V481)*MOD($AJ481,12)/12))),IF($W481="SYD",IF(N($V481)&lt;=0,0,($S481-N($U481))*(INT(MIN($AJ481,$V481)/12)*(2*($V481/12)-INT(MIN($AJ481,$V481)/12)+1)/2+MOD(MIN($AJ481,$V481),12)/12*(($V481/12)-INT(MIN($AJ481,$V481)/12)))/(($V481/12)*(($V481/12)+1)/2)),0))))),2))</f>
        <v/>
      </c>
      <c r="Y481" s="23">
        <f>IF($X481="","",$S481-$X481)</f>
        <v/>
      </c>
      <c r="AD481" s="20" t="n"/>
      <c r="AG481" s="24" t="n"/>
      <c r="AH481" s="20" t="n"/>
      <c r="AI481" s="21" t="n"/>
      <c r="AJ481" s="25">
        <f>IF($R481="","",IF($R481&gt;IF($AH481&lt;&gt;"",MIN($AH481,Settings!$B$3),Settings!$B$3),0,(YEAR(IF($AH481&lt;&gt;"",MIN($AH481,Settings!$B$3),Settings!$B$3))-YEAR($R481))*12+MONTH(IF($AH481&lt;&gt;"",MIN($AH481,Settings!$B$3),Settings!$B$3))-MONTH($R481)+1))</f>
        <v/>
      </c>
      <c r="AK481" s="25">
        <f>IF($R481="","",IF($R481&gt;MIN(Settings!$B$4-1,IF($AH481&lt;&gt;"",MIN($AH481,Settings!$B$3),Settings!$B$3)),0,(YEAR(MIN(Settings!$B$4-1,IF($AH481&lt;&gt;"",MIN($AH481,Settings!$B$3),Settings!$B$3)))-YEAR($R481))*12+MONTH(MIN(Settings!$B$4-1,IF($AH481&lt;&gt;"",MIN($AH481,Settings!$B$3),Settings!$B$3)))-MONTH($R481)+1))</f>
        <v/>
      </c>
      <c r="AL481" s="23">
        <f>IF(OR($S481="",$R481=""),"",ROUND(MAX(0,IF($W481="Straight-line",IF(N($V481)&lt;=0,0,($S481-N($U481))*MIN($AK481,$V481)/$V481),IF($W481="Reducing balance",MIN(($S481-N($U481)),$S481-$S481*(1-N($AG481))^INT($AK481/12)*(1-N($AG481)*MOD($AK481,12)/12)),IF($W481="DDB",IF(N($V481)&lt;=0,0,MIN(($S481-N($U481)),$S481-$S481*(1-MIN(1,24/$V481))^INT($AK481/12)*(1-MIN(1,24/$V481)*MOD($AK481,12)/12))),IF($W481="SYD",IF(N($V481)&lt;=0,0,($S481-N($U481))*(INT(MIN($AK481,$V481)/12)*(2*($V481/12)-INT(MIN($AK481,$V481)/12)+1)/2+MOD(MIN($AK481,$V481),12)/12*(($V481/12)-INT(MIN($AK481,$V481)/12)))/(($V481/12)*(($V481/12)+1)/2)),0))))),2))</f>
        <v/>
      </c>
      <c r="AM481" s="23">
        <f>IF($X481="","",$X481-$AL481)</f>
        <v/>
      </c>
      <c r="AN481" s="23">
        <f>IF(OR($AH481="",$Y481=""),"",N($AI481)-$Y481)</f>
        <v/>
      </c>
    </row>
    <row r="482">
      <c r="Q482" s="20" t="n"/>
      <c r="R482" s="20" t="n"/>
      <c r="S482" s="21" t="n"/>
      <c r="U482" s="21" t="n"/>
      <c r="V482" s="22" t="n"/>
      <c r="X482" s="23">
        <f>IF(OR($S482="",$R482=""),"",ROUND(MAX(0,IF($W482="Straight-line",IF(N($V482)&lt;=0,0,($S482-N($U482))*MIN($AJ482,$V482)/$V482),IF($W482="Reducing balance",MIN(($S482-N($U482)),$S482-$S482*(1-N($AG482))^INT($AJ482/12)*(1-N($AG482)*MOD($AJ482,12)/12)),IF($W482="DDB",IF(N($V482)&lt;=0,0,MIN(($S482-N($U482)),$S482-$S482*(1-MIN(1,24/$V482))^INT($AJ482/12)*(1-MIN(1,24/$V482)*MOD($AJ482,12)/12))),IF($W482="SYD",IF(N($V482)&lt;=0,0,($S482-N($U482))*(INT(MIN($AJ482,$V482)/12)*(2*($V482/12)-INT(MIN($AJ482,$V482)/12)+1)/2+MOD(MIN($AJ482,$V482),12)/12*(($V482/12)-INT(MIN($AJ482,$V482)/12)))/(($V482/12)*(($V482/12)+1)/2)),0))))),2))</f>
        <v/>
      </c>
      <c r="Y482" s="23">
        <f>IF($X482="","",$S482-$X482)</f>
        <v/>
      </c>
      <c r="AD482" s="20" t="n"/>
      <c r="AG482" s="24" t="n"/>
      <c r="AH482" s="20" t="n"/>
      <c r="AI482" s="21" t="n"/>
      <c r="AJ482" s="25">
        <f>IF($R482="","",IF($R482&gt;IF($AH482&lt;&gt;"",MIN($AH482,Settings!$B$3),Settings!$B$3),0,(YEAR(IF($AH482&lt;&gt;"",MIN($AH482,Settings!$B$3),Settings!$B$3))-YEAR($R482))*12+MONTH(IF($AH482&lt;&gt;"",MIN($AH482,Settings!$B$3),Settings!$B$3))-MONTH($R482)+1))</f>
        <v/>
      </c>
      <c r="AK482" s="25">
        <f>IF($R482="","",IF($R482&gt;MIN(Settings!$B$4-1,IF($AH482&lt;&gt;"",MIN($AH482,Settings!$B$3),Settings!$B$3)),0,(YEAR(MIN(Settings!$B$4-1,IF($AH482&lt;&gt;"",MIN($AH482,Settings!$B$3),Settings!$B$3)))-YEAR($R482))*12+MONTH(MIN(Settings!$B$4-1,IF($AH482&lt;&gt;"",MIN($AH482,Settings!$B$3),Settings!$B$3)))-MONTH($R482)+1))</f>
        <v/>
      </c>
      <c r="AL482" s="23">
        <f>IF(OR($S482="",$R482=""),"",ROUND(MAX(0,IF($W482="Straight-line",IF(N($V482)&lt;=0,0,($S482-N($U482))*MIN($AK482,$V482)/$V482),IF($W482="Reducing balance",MIN(($S482-N($U482)),$S482-$S482*(1-N($AG482))^INT($AK482/12)*(1-N($AG482)*MOD($AK482,12)/12)),IF($W482="DDB",IF(N($V482)&lt;=0,0,MIN(($S482-N($U482)),$S482-$S482*(1-MIN(1,24/$V482))^INT($AK482/12)*(1-MIN(1,24/$V482)*MOD($AK482,12)/12))),IF($W482="SYD",IF(N($V482)&lt;=0,0,($S482-N($U482))*(INT(MIN($AK482,$V482)/12)*(2*($V482/12)-INT(MIN($AK482,$V482)/12)+1)/2+MOD(MIN($AK482,$V482),12)/12*(($V482/12)-INT(MIN($AK482,$V482)/12)))/(($V482/12)*(($V482/12)+1)/2)),0))))),2))</f>
        <v/>
      </c>
      <c r="AM482" s="23">
        <f>IF($X482="","",$X482-$AL482)</f>
        <v/>
      </c>
      <c r="AN482" s="23">
        <f>IF(OR($AH482="",$Y482=""),"",N($AI482)-$Y482)</f>
        <v/>
      </c>
    </row>
    <row r="483">
      <c r="Q483" s="20" t="n"/>
      <c r="R483" s="20" t="n"/>
      <c r="S483" s="21" t="n"/>
      <c r="U483" s="21" t="n"/>
      <c r="V483" s="22" t="n"/>
      <c r="X483" s="23">
        <f>IF(OR($S483="",$R483=""),"",ROUND(MAX(0,IF($W483="Straight-line",IF(N($V483)&lt;=0,0,($S483-N($U483))*MIN($AJ483,$V483)/$V483),IF($W483="Reducing balance",MIN(($S483-N($U483)),$S483-$S483*(1-N($AG483))^INT($AJ483/12)*(1-N($AG483)*MOD($AJ483,12)/12)),IF($W483="DDB",IF(N($V483)&lt;=0,0,MIN(($S483-N($U483)),$S483-$S483*(1-MIN(1,24/$V483))^INT($AJ483/12)*(1-MIN(1,24/$V483)*MOD($AJ483,12)/12))),IF($W483="SYD",IF(N($V483)&lt;=0,0,($S483-N($U483))*(INT(MIN($AJ483,$V483)/12)*(2*($V483/12)-INT(MIN($AJ483,$V483)/12)+1)/2+MOD(MIN($AJ483,$V483),12)/12*(($V483/12)-INT(MIN($AJ483,$V483)/12)))/(($V483/12)*(($V483/12)+1)/2)),0))))),2))</f>
        <v/>
      </c>
      <c r="Y483" s="23">
        <f>IF($X483="","",$S483-$X483)</f>
        <v/>
      </c>
      <c r="AD483" s="20" t="n"/>
      <c r="AG483" s="24" t="n"/>
      <c r="AH483" s="20" t="n"/>
      <c r="AI483" s="21" t="n"/>
      <c r="AJ483" s="25">
        <f>IF($R483="","",IF($R483&gt;IF($AH483&lt;&gt;"",MIN($AH483,Settings!$B$3),Settings!$B$3),0,(YEAR(IF($AH483&lt;&gt;"",MIN($AH483,Settings!$B$3),Settings!$B$3))-YEAR($R483))*12+MONTH(IF($AH483&lt;&gt;"",MIN($AH483,Settings!$B$3),Settings!$B$3))-MONTH($R483)+1))</f>
        <v/>
      </c>
      <c r="AK483" s="25">
        <f>IF($R483="","",IF($R483&gt;MIN(Settings!$B$4-1,IF($AH483&lt;&gt;"",MIN($AH483,Settings!$B$3),Settings!$B$3)),0,(YEAR(MIN(Settings!$B$4-1,IF($AH483&lt;&gt;"",MIN($AH483,Settings!$B$3),Settings!$B$3)))-YEAR($R483))*12+MONTH(MIN(Settings!$B$4-1,IF($AH483&lt;&gt;"",MIN($AH483,Settings!$B$3),Settings!$B$3)))-MONTH($R483)+1))</f>
        <v/>
      </c>
      <c r="AL483" s="23">
        <f>IF(OR($S483="",$R483=""),"",ROUND(MAX(0,IF($W483="Straight-line",IF(N($V483)&lt;=0,0,($S483-N($U483))*MIN($AK483,$V483)/$V483),IF($W483="Reducing balance",MIN(($S483-N($U483)),$S483-$S483*(1-N($AG483))^INT($AK483/12)*(1-N($AG483)*MOD($AK483,12)/12)),IF($W483="DDB",IF(N($V483)&lt;=0,0,MIN(($S483-N($U483)),$S483-$S483*(1-MIN(1,24/$V483))^INT($AK483/12)*(1-MIN(1,24/$V483)*MOD($AK483,12)/12))),IF($W483="SYD",IF(N($V483)&lt;=0,0,($S483-N($U483))*(INT(MIN($AK483,$V483)/12)*(2*($V483/12)-INT(MIN($AK483,$V483)/12)+1)/2+MOD(MIN($AK483,$V483),12)/12*(($V483/12)-INT(MIN($AK483,$V483)/12)))/(($V483/12)*(($V483/12)+1)/2)),0))))),2))</f>
        <v/>
      </c>
      <c r="AM483" s="23">
        <f>IF($X483="","",$X483-$AL483)</f>
        <v/>
      </c>
      <c r="AN483" s="23">
        <f>IF(OR($AH483="",$Y483=""),"",N($AI483)-$Y483)</f>
        <v/>
      </c>
    </row>
    <row r="484">
      <c r="Q484" s="20" t="n"/>
      <c r="R484" s="20" t="n"/>
      <c r="S484" s="21" t="n"/>
      <c r="U484" s="21" t="n"/>
      <c r="V484" s="22" t="n"/>
      <c r="X484" s="23">
        <f>IF(OR($S484="",$R484=""),"",ROUND(MAX(0,IF($W484="Straight-line",IF(N($V484)&lt;=0,0,($S484-N($U484))*MIN($AJ484,$V484)/$V484),IF($W484="Reducing balance",MIN(($S484-N($U484)),$S484-$S484*(1-N($AG484))^INT($AJ484/12)*(1-N($AG484)*MOD($AJ484,12)/12)),IF($W484="DDB",IF(N($V484)&lt;=0,0,MIN(($S484-N($U484)),$S484-$S484*(1-MIN(1,24/$V484))^INT($AJ484/12)*(1-MIN(1,24/$V484)*MOD($AJ484,12)/12))),IF($W484="SYD",IF(N($V484)&lt;=0,0,($S484-N($U484))*(INT(MIN($AJ484,$V484)/12)*(2*($V484/12)-INT(MIN($AJ484,$V484)/12)+1)/2+MOD(MIN($AJ484,$V484),12)/12*(($V484/12)-INT(MIN($AJ484,$V484)/12)))/(($V484/12)*(($V484/12)+1)/2)),0))))),2))</f>
        <v/>
      </c>
      <c r="Y484" s="23">
        <f>IF($X484="","",$S484-$X484)</f>
        <v/>
      </c>
      <c r="AD484" s="20" t="n"/>
      <c r="AG484" s="24" t="n"/>
      <c r="AH484" s="20" t="n"/>
      <c r="AI484" s="21" t="n"/>
      <c r="AJ484" s="25">
        <f>IF($R484="","",IF($R484&gt;IF($AH484&lt;&gt;"",MIN($AH484,Settings!$B$3),Settings!$B$3),0,(YEAR(IF($AH484&lt;&gt;"",MIN($AH484,Settings!$B$3),Settings!$B$3))-YEAR($R484))*12+MONTH(IF($AH484&lt;&gt;"",MIN($AH484,Settings!$B$3),Settings!$B$3))-MONTH($R484)+1))</f>
        <v/>
      </c>
      <c r="AK484" s="25">
        <f>IF($R484="","",IF($R484&gt;MIN(Settings!$B$4-1,IF($AH484&lt;&gt;"",MIN($AH484,Settings!$B$3),Settings!$B$3)),0,(YEAR(MIN(Settings!$B$4-1,IF($AH484&lt;&gt;"",MIN($AH484,Settings!$B$3),Settings!$B$3)))-YEAR($R484))*12+MONTH(MIN(Settings!$B$4-1,IF($AH484&lt;&gt;"",MIN($AH484,Settings!$B$3),Settings!$B$3)))-MONTH($R484)+1))</f>
        <v/>
      </c>
      <c r="AL484" s="23">
        <f>IF(OR($S484="",$R484=""),"",ROUND(MAX(0,IF($W484="Straight-line",IF(N($V484)&lt;=0,0,($S484-N($U484))*MIN($AK484,$V484)/$V484),IF($W484="Reducing balance",MIN(($S484-N($U484)),$S484-$S484*(1-N($AG484))^INT($AK484/12)*(1-N($AG484)*MOD($AK484,12)/12)),IF($W484="DDB",IF(N($V484)&lt;=0,0,MIN(($S484-N($U484)),$S484-$S484*(1-MIN(1,24/$V484))^INT($AK484/12)*(1-MIN(1,24/$V484)*MOD($AK484,12)/12))),IF($W484="SYD",IF(N($V484)&lt;=0,0,($S484-N($U484))*(INT(MIN($AK484,$V484)/12)*(2*($V484/12)-INT(MIN($AK484,$V484)/12)+1)/2+MOD(MIN($AK484,$V484),12)/12*(($V484/12)-INT(MIN($AK484,$V484)/12)))/(($V484/12)*(($V484/12)+1)/2)),0))))),2))</f>
        <v/>
      </c>
      <c r="AM484" s="23">
        <f>IF($X484="","",$X484-$AL484)</f>
        <v/>
      </c>
      <c r="AN484" s="23">
        <f>IF(OR($AH484="",$Y484=""),"",N($AI484)-$Y484)</f>
        <v/>
      </c>
    </row>
    <row r="485">
      <c r="Q485" s="20" t="n"/>
      <c r="R485" s="20" t="n"/>
      <c r="S485" s="21" t="n"/>
      <c r="U485" s="21" t="n"/>
      <c r="V485" s="22" t="n"/>
      <c r="X485" s="23">
        <f>IF(OR($S485="",$R485=""),"",ROUND(MAX(0,IF($W485="Straight-line",IF(N($V485)&lt;=0,0,($S485-N($U485))*MIN($AJ485,$V485)/$V485),IF($W485="Reducing balance",MIN(($S485-N($U485)),$S485-$S485*(1-N($AG485))^INT($AJ485/12)*(1-N($AG485)*MOD($AJ485,12)/12)),IF($W485="DDB",IF(N($V485)&lt;=0,0,MIN(($S485-N($U485)),$S485-$S485*(1-MIN(1,24/$V485))^INT($AJ485/12)*(1-MIN(1,24/$V485)*MOD($AJ485,12)/12))),IF($W485="SYD",IF(N($V485)&lt;=0,0,($S485-N($U485))*(INT(MIN($AJ485,$V485)/12)*(2*($V485/12)-INT(MIN($AJ485,$V485)/12)+1)/2+MOD(MIN($AJ485,$V485),12)/12*(($V485/12)-INT(MIN($AJ485,$V485)/12)))/(($V485/12)*(($V485/12)+1)/2)),0))))),2))</f>
        <v/>
      </c>
      <c r="Y485" s="23">
        <f>IF($X485="","",$S485-$X485)</f>
        <v/>
      </c>
      <c r="AD485" s="20" t="n"/>
      <c r="AG485" s="24" t="n"/>
      <c r="AH485" s="20" t="n"/>
      <c r="AI485" s="21" t="n"/>
      <c r="AJ485" s="25">
        <f>IF($R485="","",IF($R485&gt;IF($AH485&lt;&gt;"",MIN($AH485,Settings!$B$3),Settings!$B$3),0,(YEAR(IF($AH485&lt;&gt;"",MIN($AH485,Settings!$B$3),Settings!$B$3))-YEAR($R485))*12+MONTH(IF($AH485&lt;&gt;"",MIN($AH485,Settings!$B$3),Settings!$B$3))-MONTH($R485)+1))</f>
        <v/>
      </c>
      <c r="AK485" s="25">
        <f>IF($R485="","",IF($R485&gt;MIN(Settings!$B$4-1,IF($AH485&lt;&gt;"",MIN($AH485,Settings!$B$3),Settings!$B$3)),0,(YEAR(MIN(Settings!$B$4-1,IF($AH485&lt;&gt;"",MIN($AH485,Settings!$B$3),Settings!$B$3)))-YEAR($R485))*12+MONTH(MIN(Settings!$B$4-1,IF($AH485&lt;&gt;"",MIN($AH485,Settings!$B$3),Settings!$B$3)))-MONTH($R485)+1))</f>
        <v/>
      </c>
      <c r="AL485" s="23">
        <f>IF(OR($S485="",$R485=""),"",ROUND(MAX(0,IF($W485="Straight-line",IF(N($V485)&lt;=0,0,($S485-N($U485))*MIN($AK485,$V485)/$V485),IF($W485="Reducing balance",MIN(($S485-N($U485)),$S485-$S485*(1-N($AG485))^INT($AK485/12)*(1-N($AG485)*MOD($AK485,12)/12)),IF($W485="DDB",IF(N($V485)&lt;=0,0,MIN(($S485-N($U485)),$S485-$S485*(1-MIN(1,24/$V485))^INT($AK485/12)*(1-MIN(1,24/$V485)*MOD($AK485,12)/12))),IF($W485="SYD",IF(N($V485)&lt;=0,0,($S485-N($U485))*(INT(MIN($AK485,$V485)/12)*(2*($V485/12)-INT(MIN($AK485,$V485)/12)+1)/2+MOD(MIN($AK485,$V485),12)/12*(($V485/12)-INT(MIN($AK485,$V485)/12)))/(($V485/12)*(($V485/12)+1)/2)),0))))),2))</f>
        <v/>
      </c>
      <c r="AM485" s="23">
        <f>IF($X485="","",$X485-$AL485)</f>
        <v/>
      </c>
      <c r="AN485" s="23">
        <f>IF(OR($AH485="",$Y485=""),"",N($AI485)-$Y485)</f>
        <v/>
      </c>
    </row>
    <row r="486">
      <c r="Q486" s="20" t="n"/>
      <c r="R486" s="20" t="n"/>
      <c r="S486" s="21" t="n"/>
      <c r="U486" s="21" t="n"/>
      <c r="V486" s="22" t="n"/>
      <c r="X486" s="23">
        <f>IF(OR($S486="",$R486=""),"",ROUND(MAX(0,IF($W486="Straight-line",IF(N($V486)&lt;=0,0,($S486-N($U486))*MIN($AJ486,$V486)/$V486),IF($W486="Reducing balance",MIN(($S486-N($U486)),$S486-$S486*(1-N($AG486))^INT($AJ486/12)*(1-N($AG486)*MOD($AJ486,12)/12)),IF($W486="DDB",IF(N($V486)&lt;=0,0,MIN(($S486-N($U486)),$S486-$S486*(1-MIN(1,24/$V486))^INT($AJ486/12)*(1-MIN(1,24/$V486)*MOD($AJ486,12)/12))),IF($W486="SYD",IF(N($V486)&lt;=0,0,($S486-N($U486))*(INT(MIN($AJ486,$V486)/12)*(2*($V486/12)-INT(MIN($AJ486,$V486)/12)+1)/2+MOD(MIN($AJ486,$V486),12)/12*(($V486/12)-INT(MIN($AJ486,$V486)/12)))/(($V486/12)*(($V486/12)+1)/2)),0))))),2))</f>
        <v/>
      </c>
      <c r="Y486" s="23">
        <f>IF($X486="","",$S486-$X486)</f>
        <v/>
      </c>
      <c r="AD486" s="20" t="n"/>
      <c r="AG486" s="24" t="n"/>
      <c r="AH486" s="20" t="n"/>
      <c r="AI486" s="21" t="n"/>
      <c r="AJ486" s="25">
        <f>IF($R486="","",IF($R486&gt;IF($AH486&lt;&gt;"",MIN($AH486,Settings!$B$3),Settings!$B$3),0,(YEAR(IF($AH486&lt;&gt;"",MIN($AH486,Settings!$B$3),Settings!$B$3))-YEAR($R486))*12+MONTH(IF($AH486&lt;&gt;"",MIN($AH486,Settings!$B$3),Settings!$B$3))-MONTH($R486)+1))</f>
        <v/>
      </c>
      <c r="AK486" s="25">
        <f>IF($R486="","",IF($R486&gt;MIN(Settings!$B$4-1,IF($AH486&lt;&gt;"",MIN($AH486,Settings!$B$3),Settings!$B$3)),0,(YEAR(MIN(Settings!$B$4-1,IF($AH486&lt;&gt;"",MIN($AH486,Settings!$B$3),Settings!$B$3)))-YEAR($R486))*12+MONTH(MIN(Settings!$B$4-1,IF($AH486&lt;&gt;"",MIN($AH486,Settings!$B$3),Settings!$B$3)))-MONTH($R486)+1))</f>
        <v/>
      </c>
      <c r="AL486" s="23">
        <f>IF(OR($S486="",$R486=""),"",ROUND(MAX(0,IF($W486="Straight-line",IF(N($V486)&lt;=0,0,($S486-N($U486))*MIN($AK486,$V486)/$V486),IF($W486="Reducing balance",MIN(($S486-N($U486)),$S486-$S486*(1-N($AG486))^INT($AK486/12)*(1-N($AG486)*MOD($AK486,12)/12)),IF($W486="DDB",IF(N($V486)&lt;=0,0,MIN(($S486-N($U486)),$S486-$S486*(1-MIN(1,24/$V486))^INT($AK486/12)*(1-MIN(1,24/$V486)*MOD($AK486,12)/12))),IF($W486="SYD",IF(N($V486)&lt;=0,0,($S486-N($U486))*(INT(MIN($AK486,$V486)/12)*(2*($V486/12)-INT(MIN($AK486,$V486)/12)+1)/2+MOD(MIN($AK486,$V486),12)/12*(($V486/12)-INT(MIN($AK486,$V486)/12)))/(($V486/12)*(($V486/12)+1)/2)),0))))),2))</f>
        <v/>
      </c>
      <c r="AM486" s="23">
        <f>IF($X486="","",$X486-$AL486)</f>
        <v/>
      </c>
      <c r="AN486" s="23">
        <f>IF(OR($AH486="",$Y486=""),"",N($AI486)-$Y486)</f>
        <v/>
      </c>
    </row>
    <row r="487">
      <c r="Q487" s="20" t="n"/>
      <c r="R487" s="20" t="n"/>
      <c r="S487" s="21" t="n"/>
      <c r="U487" s="21" t="n"/>
      <c r="V487" s="22" t="n"/>
      <c r="X487" s="23">
        <f>IF(OR($S487="",$R487=""),"",ROUND(MAX(0,IF($W487="Straight-line",IF(N($V487)&lt;=0,0,($S487-N($U487))*MIN($AJ487,$V487)/$V487),IF($W487="Reducing balance",MIN(($S487-N($U487)),$S487-$S487*(1-N($AG487))^INT($AJ487/12)*(1-N($AG487)*MOD($AJ487,12)/12)),IF($W487="DDB",IF(N($V487)&lt;=0,0,MIN(($S487-N($U487)),$S487-$S487*(1-MIN(1,24/$V487))^INT($AJ487/12)*(1-MIN(1,24/$V487)*MOD($AJ487,12)/12))),IF($W487="SYD",IF(N($V487)&lt;=0,0,($S487-N($U487))*(INT(MIN($AJ487,$V487)/12)*(2*($V487/12)-INT(MIN($AJ487,$V487)/12)+1)/2+MOD(MIN($AJ487,$V487),12)/12*(($V487/12)-INT(MIN($AJ487,$V487)/12)))/(($V487/12)*(($V487/12)+1)/2)),0))))),2))</f>
        <v/>
      </c>
      <c r="Y487" s="23">
        <f>IF($X487="","",$S487-$X487)</f>
        <v/>
      </c>
      <c r="AD487" s="20" t="n"/>
      <c r="AG487" s="24" t="n"/>
      <c r="AH487" s="20" t="n"/>
      <c r="AI487" s="21" t="n"/>
      <c r="AJ487" s="25">
        <f>IF($R487="","",IF($R487&gt;IF($AH487&lt;&gt;"",MIN($AH487,Settings!$B$3),Settings!$B$3),0,(YEAR(IF($AH487&lt;&gt;"",MIN($AH487,Settings!$B$3),Settings!$B$3))-YEAR($R487))*12+MONTH(IF($AH487&lt;&gt;"",MIN($AH487,Settings!$B$3),Settings!$B$3))-MONTH($R487)+1))</f>
        <v/>
      </c>
      <c r="AK487" s="25">
        <f>IF($R487="","",IF($R487&gt;MIN(Settings!$B$4-1,IF($AH487&lt;&gt;"",MIN($AH487,Settings!$B$3),Settings!$B$3)),0,(YEAR(MIN(Settings!$B$4-1,IF($AH487&lt;&gt;"",MIN($AH487,Settings!$B$3),Settings!$B$3)))-YEAR($R487))*12+MONTH(MIN(Settings!$B$4-1,IF($AH487&lt;&gt;"",MIN($AH487,Settings!$B$3),Settings!$B$3)))-MONTH($R487)+1))</f>
        <v/>
      </c>
      <c r="AL487" s="23">
        <f>IF(OR($S487="",$R487=""),"",ROUND(MAX(0,IF($W487="Straight-line",IF(N($V487)&lt;=0,0,($S487-N($U487))*MIN($AK487,$V487)/$V487),IF($W487="Reducing balance",MIN(($S487-N($U487)),$S487-$S487*(1-N($AG487))^INT($AK487/12)*(1-N($AG487)*MOD($AK487,12)/12)),IF($W487="DDB",IF(N($V487)&lt;=0,0,MIN(($S487-N($U487)),$S487-$S487*(1-MIN(1,24/$V487))^INT($AK487/12)*(1-MIN(1,24/$V487)*MOD($AK487,12)/12))),IF($W487="SYD",IF(N($V487)&lt;=0,0,($S487-N($U487))*(INT(MIN($AK487,$V487)/12)*(2*($V487/12)-INT(MIN($AK487,$V487)/12)+1)/2+MOD(MIN($AK487,$V487),12)/12*(($V487/12)-INT(MIN($AK487,$V487)/12)))/(($V487/12)*(($V487/12)+1)/2)),0))))),2))</f>
        <v/>
      </c>
      <c r="AM487" s="23">
        <f>IF($X487="","",$X487-$AL487)</f>
        <v/>
      </c>
      <c r="AN487" s="23">
        <f>IF(OR($AH487="",$Y487=""),"",N($AI487)-$Y487)</f>
        <v/>
      </c>
    </row>
    <row r="488">
      <c r="Q488" s="20" t="n"/>
      <c r="R488" s="20" t="n"/>
      <c r="S488" s="21" t="n"/>
      <c r="U488" s="21" t="n"/>
      <c r="V488" s="22" t="n"/>
      <c r="X488" s="23">
        <f>IF(OR($S488="",$R488=""),"",ROUND(MAX(0,IF($W488="Straight-line",IF(N($V488)&lt;=0,0,($S488-N($U488))*MIN($AJ488,$V488)/$V488),IF($W488="Reducing balance",MIN(($S488-N($U488)),$S488-$S488*(1-N($AG488))^INT($AJ488/12)*(1-N($AG488)*MOD($AJ488,12)/12)),IF($W488="DDB",IF(N($V488)&lt;=0,0,MIN(($S488-N($U488)),$S488-$S488*(1-MIN(1,24/$V488))^INT($AJ488/12)*(1-MIN(1,24/$V488)*MOD($AJ488,12)/12))),IF($W488="SYD",IF(N($V488)&lt;=0,0,($S488-N($U488))*(INT(MIN($AJ488,$V488)/12)*(2*($V488/12)-INT(MIN($AJ488,$V488)/12)+1)/2+MOD(MIN($AJ488,$V488),12)/12*(($V488/12)-INT(MIN($AJ488,$V488)/12)))/(($V488/12)*(($V488/12)+1)/2)),0))))),2))</f>
        <v/>
      </c>
      <c r="Y488" s="23">
        <f>IF($X488="","",$S488-$X488)</f>
        <v/>
      </c>
      <c r="AD488" s="20" t="n"/>
      <c r="AG488" s="24" t="n"/>
      <c r="AH488" s="20" t="n"/>
      <c r="AI488" s="21" t="n"/>
      <c r="AJ488" s="25">
        <f>IF($R488="","",IF($R488&gt;IF($AH488&lt;&gt;"",MIN($AH488,Settings!$B$3),Settings!$B$3),0,(YEAR(IF($AH488&lt;&gt;"",MIN($AH488,Settings!$B$3),Settings!$B$3))-YEAR($R488))*12+MONTH(IF($AH488&lt;&gt;"",MIN($AH488,Settings!$B$3),Settings!$B$3))-MONTH($R488)+1))</f>
        <v/>
      </c>
      <c r="AK488" s="25">
        <f>IF($R488="","",IF($R488&gt;MIN(Settings!$B$4-1,IF($AH488&lt;&gt;"",MIN($AH488,Settings!$B$3),Settings!$B$3)),0,(YEAR(MIN(Settings!$B$4-1,IF($AH488&lt;&gt;"",MIN($AH488,Settings!$B$3),Settings!$B$3)))-YEAR($R488))*12+MONTH(MIN(Settings!$B$4-1,IF($AH488&lt;&gt;"",MIN($AH488,Settings!$B$3),Settings!$B$3)))-MONTH($R488)+1))</f>
        <v/>
      </c>
      <c r="AL488" s="23">
        <f>IF(OR($S488="",$R488=""),"",ROUND(MAX(0,IF($W488="Straight-line",IF(N($V488)&lt;=0,0,($S488-N($U488))*MIN($AK488,$V488)/$V488),IF($W488="Reducing balance",MIN(($S488-N($U488)),$S488-$S488*(1-N($AG488))^INT($AK488/12)*(1-N($AG488)*MOD($AK488,12)/12)),IF($W488="DDB",IF(N($V488)&lt;=0,0,MIN(($S488-N($U488)),$S488-$S488*(1-MIN(1,24/$V488))^INT($AK488/12)*(1-MIN(1,24/$V488)*MOD($AK488,12)/12))),IF($W488="SYD",IF(N($V488)&lt;=0,0,($S488-N($U488))*(INT(MIN($AK488,$V488)/12)*(2*($V488/12)-INT(MIN($AK488,$V488)/12)+1)/2+MOD(MIN($AK488,$V488),12)/12*(($V488/12)-INT(MIN($AK488,$V488)/12)))/(($V488/12)*(($V488/12)+1)/2)),0))))),2))</f>
        <v/>
      </c>
      <c r="AM488" s="23">
        <f>IF($X488="","",$X488-$AL488)</f>
        <v/>
      </c>
      <c r="AN488" s="23">
        <f>IF(OR($AH488="",$Y488=""),"",N($AI488)-$Y488)</f>
        <v/>
      </c>
    </row>
    <row r="489">
      <c r="Q489" s="20" t="n"/>
      <c r="R489" s="20" t="n"/>
      <c r="S489" s="21" t="n"/>
      <c r="U489" s="21" t="n"/>
      <c r="V489" s="22" t="n"/>
      <c r="X489" s="23">
        <f>IF(OR($S489="",$R489=""),"",ROUND(MAX(0,IF($W489="Straight-line",IF(N($V489)&lt;=0,0,($S489-N($U489))*MIN($AJ489,$V489)/$V489),IF($W489="Reducing balance",MIN(($S489-N($U489)),$S489-$S489*(1-N($AG489))^INT($AJ489/12)*(1-N($AG489)*MOD($AJ489,12)/12)),IF($W489="DDB",IF(N($V489)&lt;=0,0,MIN(($S489-N($U489)),$S489-$S489*(1-MIN(1,24/$V489))^INT($AJ489/12)*(1-MIN(1,24/$V489)*MOD($AJ489,12)/12))),IF($W489="SYD",IF(N($V489)&lt;=0,0,($S489-N($U489))*(INT(MIN($AJ489,$V489)/12)*(2*($V489/12)-INT(MIN($AJ489,$V489)/12)+1)/2+MOD(MIN($AJ489,$V489),12)/12*(($V489/12)-INT(MIN($AJ489,$V489)/12)))/(($V489/12)*(($V489/12)+1)/2)),0))))),2))</f>
        <v/>
      </c>
      <c r="Y489" s="23">
        <f>IF($X489="","",$S489-$X489)</f>
        <v/>
      </c>
      <c r="AD489" s="20" t="n"/>
      <c r="AG489" s="24" t="n"/>
      <c r="AH489" s="20" t="n"/>
      <c r="AI489" s="21" t="n"/>
      <c r="AJ489" s="25">
        <f>IF($R489="","",IF($R489&gt;IF($AH489&lt;&gt;"",MIN($AH489,Settings!$B$3),Settings!$B$3),0,(YEAR(IF($AH489&lt;&gt;"",MIN($AH489,Settings!$B$3),Settings!$B$3))-YEAR($R489))*12+MONTH(IF($AH489&lt;&gt;"",MIN($AH489,Settings!$B$3),Settings!$B$3))-MONTH($R489)+1))</f>
        <v/>
      </c>
      <c r="AK489" s="25">
        <f>IF($R489="","",IF($R489&gt;MIN(Settings!$B$4-1,IF($AH489&lt;&gt;"",MIN($AH489,Settings!$B$3),Settings!$B$3)),0,(YEAR(MIN(Settings!$B$4-1,IF($AH489&lt;&gt;"",MIN($AH489,Settings!$B$3),Settings!$B$3)))-YEAR($R489))*12+MONTH(MIN(Settings!$B$4-1,IF($AH489&lt;&gt;"",MIN($AH489,Settings!$B$3),Settings!$B$3)))-MONTH($R489)+1))</f>
        <v/>
      </c>
      <c r="AL489" s="23">
        <f>IF(OR($S489="",$R489=""),"",ROUND(MAX(0,IF($W489="Straight-line",IF(N($V489)&lt;=0,0,($S489-N($U489))*MIN($AK489,$V489)/$V489),IF($W489="Reducing balance",MIN(($S489-N($U489)),$S489-$S489*(1-N($AG489))^INT($AK489/12)*(1-N($AG489)*MOD($AK489,12)/12)),IF($W489="DDB",IF(N($V489)&lt;=0,0,MIN(($S489-N($U489)),$S489-$S489*(1-MIN(1,24/$V489))^INT($AK489/12)*(1-MIN(1,24/$V489)*MOD($AK489,12)/12))),IF($W489="SYD",IF(N($V489)&lt;=0,0,($S489-N($U489))*(INT(MIN($AK489,$V489)/12)*(2*($V489/12)-INT(MIN($AK489,$V489)/12)+1)/2+MOD(MIN($AK489,$V489),12)/12*(($V489/12)-INT(MIN($AK489,$V489)/12)))/(($V489/12)*(($V489/12)+1)/2)),0))))),2))</f>
        <v/>
      </c>
      <c r="AM489" s="23">
        <f>IF($X489="","",$X489-$AL489)</f>
        <v/>
      </c>
      <c r="AN489" s="23">
        <f>IF(OR($AH489="",$Y489=""),"",N($AI489)-$Y489)</f>
        <v/>
      </c>
    </row>
    <row r="490">
      <c r="Q490" s="20" t="n"/>
      <c r="R490" s="20" t="n"/>
      <c r="S490" s="21" t="n"/>
      <c r="U490" s="21" t="n"/>
      <c r="V490" s="22" t="n"/>
      <c r="X490" s="23">
        <f>IF(OR($S490="",$R490=""),"",ROUND(MAX(0,IF($W490="Straight-line",IF(N($V490)&lt;=0,0,($S490-N($U490))*MIN($AJ490,$V490)/$V490),IF($W490="Reducing balance",MIN(($S490-N($U490)),$S490-$S490*(1-N($AG490))^INT($AJ490/12)*(1-N($AG490)*MOD($AJ490,12)/12)),IF($W490="DDB",IF(N($V490)&lt;=0,0,MIN(($S490-N($U490)),$S490-$S490*(1-MIN(1,24/$V490))^INT($AJ490/12)*(1-MIN(1,24/$V490)*MOD($AJ490,12)/12))),IF($W490="SYD",IF(N($V490)&lt;=0,0,($S490-N($U490))*(INT(MIN($AJ490,$V490)/12)*(2*($V490/12)-INT(MIN($AJ490,$V490)/12)+1)/2+MOD(MIN($AJ490,$V490),12)/12*(($V490/12)-INT(MIN($AJ490,$V490)/12)))/(($V490/12)*(($V490/12)+1)/2)),0))))),2))</f>
        <v/>
      </c>
      <c r="Y490" s="23">
        <f>IF($X490="","",$S490-$X490)</f>
        <v/>
      </c>
      <c r="AD490" s="20" t="n"/>
      <c r="AG490" s="24" t="n"/>
      <c r="AH490" s="20" t="n"/>
      <c r="AI490" s="21" t="n"/>
      <c r="AJ490" s="25">
        <f>IF($R490="","",IF($R490&gt;IF($AH490&lt;&gt;"",MIN($AH490,Settings!$B$3),Settings!$B$3),0,(YEAR(IF($AH490&lt;&gt;"",MIN($AH490,Settings!$B$3),Settings!$B$3))-YEAR($R490))*12+MONTH(IF($AH490&lt;&gt;"",MIN($AH490,Settings!$B$3),Settings!$B$3))-MONTH($R490)+1))</f>
        <v/>
      </c>
      <c r="AK490" s="25">
        <f>IF($R490="","",IF($R490&gt;MIN(Settings!$B$4-1,IF($AH490&lt;&gt;"",MIN($AH490,Settings!$B$3),Settings!$B$3)),0,(YEAR(MIN(Settings!$B$4-1,IF($AH490&lt;&gt;"",MIN($AH490,Settings!$B$3),Settings!$B$3)))-YEAR($R490))*12+MONTH(MIN(Settings!$B$4-1,IF($AH490&lt;&gt;"",MIN($AH490,Settings!$B$3),Settings!$B$3)))-MONTH($R490)+1))</f>
        <v/>
      </c>
      <c r="AL490" s="23">
        <f>IF(OR($S490="",$R490=""),"",ROUND(MAX(0,IF($W490="Straight-line",IF(N($V490)&lt;=0,0,($S490-N($U490))*MIN($AK490,$V490)/$V490),IF($W490="Reducing balance",MIN(($S490-N($U490)),$S490-$S490*(1-N($AG490))^INT($AK490/12)*(1-N($AG490)*MOD($AK490,12)/12)),IF($W490="DDB",IF(N($V490)&lt;=0,0,MIN(($S490-N($U490)),$S490-$S490*(1-MIN(1,24/$V490))^INT($AK490/12)*(1-MIN(1,24/$V490)*MOD($AK490,12)/12))),IF($W490="SYD",IF(N($V490)&lt;=0,0,($S490-N($U490))*(INT(MIN($AK490,$V490)/12)*(2*($V490/12)-INT(MIN($AK490,$V490)/12)+1)/2+MOD(MIN($AK490,$V490),12)/12*(($V490/12)-INT(MIN($AK490,$V490)/12)))/(($V490/12)*(($V490/12)+1)/2)),0))))),2))</f>
        <v/>
      </c>
      <c r="AM490" s="23">
        <f>IF($X490="","",$X490-$AL490)</f>
        <v/>
      </c>
      <c r="AN490" s="23">
        <f>IF(OR($AH490="",$Y490=""),"",N($AI490)-$Y490)</f>
        <v/>
      </c>
    </row>
    <row r="491">
      <c r="Q491" s="20" t="n"/>
      <c r="R491" s="20" t="n"/>
      <c r="S491" s="21" t="n"/>
      <c r="U491" s="21" t="n"/>
      <c r="V491" s="22" t="n"/>
      <c r="X491" s="23">
        <f>IF(OR($S491="",$R491=""),"",ROUND(MAX(0,IF($W491="Straight-line",IF(N($V491)&lt;=0,0,($S491-N($U491))*MIN($AJ491,$V491)/$V491),IF($W491="Reducing balance",MIN(($S491-N($U491)),$S491-$S491*(1-N($AG491))^INT($AJ491/12)*(1-N($AG491)*MOD($AJ491,12)/12)),IF($W491="DDB",IF(N($V491)&lt;=0,0,MIN(($S491-N($U491)),$S491-$S491*(1-MIN(1,24/$V491))^INT($AJ491/12)*(1-MIN(1,24/$V491)*MOD($AJ491,12)/12))),IF($W491="SYD",IF(N($V491)&lt;=0,0,($S491-N($U491))*(INT(MIN($AJ491,$V491)/12)*(2*($V491/12)-INT(MIN($AJ491,$V491)/12)+1)/2+MOD(MIN($AJ491,$V491),12)/12*(($V491/12)-INT(MIN($AJ491,$V491)/12)))/(($V491/12)*(($V491/12)+1)/2)),0))))),2))</f>
        <v/>
      </c>
      <c r="Y491" s="23">
        <f>IF($X491="","",$S491-$X491)</f>
        <v/>
      </c>
      <c r="AD491" s="20" t="n"/>
      <c r="AG491" s="24" t="n"/>
      <c r="AH491" s="20" t="n"/>
      <c r="AI491" s="21" t="n"/>
      <c r="AJ491" s="25">
        <f>IF($R491="","",IF($R491&gt;IF($AH491&lt;&gt;"",MIN($AH491,Settings!$B$3),Settings!$B$3),0,(YEAR(IF($AH491&lt;&gt;"",MIN($AH491,Settings!$B$3),Settings!$B$3))-YEAR($R491))*12+MONTH(IF($AH491&lt;&gt;"",MIN($AH491,Settings!$B$3),Settings!$B$3))-MONTH($R491)+1))</f>
        <v/>
      </c>
      <c r="AK491" s="25">
        <f>IF($R491="","",IF($R491&gt;MIN(Settings!$B$4-1,IF($AH491&lt;&gt;"",MIN($AH491,Settings!$B$3),Settings!$B$3)),0,(YEAR(MIN(Settings!$B$4-1,IF($AH491&lt;&gt;"",MIN($AH491,Settings!$B$3),Settings!$B$3)))-YEAR($R491))*12+MONTH(MIN(Settings!$B$4-1,IF($AH491&lt;&gt;"",MIN($AH491,Settings!$B$3),Settings!$B$3)))-MONTH($R491)+1))</f>
        <v/>
      </c>
      <c r="AL491" s="23">
        <f>IF(OR($S491="",$R491=""),"",ROUND(MAX(0,IF($W491="Straight-line",IF(N($V491)&lt;=0,0,($S491-N($U491))*MIN($AK491,$V491)/$V491),IF($W491="Reducing balance",MIN(($S491-N($U491)),$S491-$S491*(1-N($AG491))^INT($AK491/12)*(1-N($AG491)*MOD($AK491,12)/12)),IF($W491="DDB",IF(N($V491)&lt;=0,0,MIN(($S491-N($U491)),$S491-$S491*(1-MIN(1,24/$V491))^INT($AK491/12)*(1-MIN(1,24/$V491)*MOD($AK491,12)/12))),IF($W491="SYD",IF(N($V491)&lt;=0,0,($S491-N($U491))*(INT(MIN($AK491,$V491)/12)*(2*($V491/12)-INT(MIN($AK491,$V491)/12)+1)/2+MOD(MIN($AK491,$V491),12)/12*(($V491/12)-INT(MIN($AK491,$V491)/12)))/(($V491/12)*(($V491/12)+1)/2)),0))))),2))</f>
        <v/>
      </c>
      <c r="AM491" s="23">
        <f>IF($X491="","",$X491-$AL491)</f>
        <v/>
      </c>
      <c r="AN491" s="23">
        <f>IF(OR($AH491="",$Y491=""),"",N($AI491)-$Y491)</f>
        <v/>
      </c>
    </row>
    <row r="492">
      <c r="Q492" s="20" t="n"/>
      <c r="R492" s="20" t="n"/>
      <c r="S492" s="21" t="n"/>
      <c r="U492" s="21" t="n"/>
      <c r="V492" s="22" t="n"/>
      <c r="X492" s="23">
        <f>IF(OR($S492="",$R492=""),"",ROUND(MAX(0,IF($W492="Straight-line",IF(N($V492)&lt;=0,0,($S492-N($U492))*MIN($AJ492,$V492)/$V492),IF($W492="Reducing balance",MIN(($S492-N($U492)),$S492-$S492*(1-N($AG492))^INT($AJ492/12)*(1-N($AG492)*MOD($AJ492,12)/12)),IF($W492="DDB",IF(N($V492)&lt;=0,0,MIN(($S492-N($U492)),$S492-$S492*(1-MIN(1,24/$V492))^INT($AJ492/12)*(1-MIN(1,24/$V492)*MOD($AJ492,12)/12))),IF($W492="SYD",IF(N($V492)&lt;=0,0,($S492-N($U492))*(INT(MIN($AJ492,$V492)/12)*(2*($V492/12)-INT(MIN($AJ492,$V492)/12)+1)/2+MOD(MIN($AJ492,$V492),12)/12*(($V492/12)-INT(MIN($AJ492,$V492)/12)))/(($V492/12)*(($V492/12)+1)/2)),0))))),2))</f>
        <v/>
      </c>
      <c r="Y492" s="23">
        <f>IF($X492="","",$S492-$X492)</f>
        <v/>
      </c>
      <c r="AD492" s="20" t="n"/>
      <c r="AG492" s="24" t="n"/>
      <c r="AH492" s="20" t="n"/>
      <c r="AI492" s="21" t="n"/>
      <c r="AJ492" s="25">
        <f>IF($R492="","",IF($R492&gt;IF($AH492&lt;&gt;"",MIN($AH492,Settings!$B$3),Settings!$B$3),0,(YEAR(IF($AH492&lt;&gt;"",MIN($AH492,Settings!$B$3),Settings!$B$3))-YEAR($R492))*12+MONTH(IF($AH492&lt;&gt;"",MIN($AH492,Settings!$B$3),Settings!$B$3))-MONTH($R492)+1))</f>
        <v/>
      </c>
      <c r="AK492" s="25">
        <f>IF($R492="","",IF($R492&gt;MIN(Settings!$B$4-1,IF($AH492&lt;&gt;"",MIN($AH492,Settings!$B$3),Settings!$B$3)),0,(YEAR(MIN(Settings!$B$4-1,IF($AH492&lt;&gt;"",MIN($AH492,Settings!$B$3),Settings!$B$3)))-YEAR($R492))*12+MONTH(MIN(Settings!$B$4-1,IF($AH492&lt;&gt;"",MIN($AH492,Settings!$B$3),Settings!$B$3)))-MONTH($R492)+1))</f>
        <v/>
      </c>
      <c r="AL492" s="23">
        <f>IF(OR($S492="",$R492=""),"",ROUND(MAX(0,IF($W492="Straight-line",IF(N($V492)&lt;=0,0,($S492-N($U492))*MIN($AK492,$V492)/$V492),IF($W492="Reducing balance",MIN(($S492-N($U492)),$S492-$S492*(1-N($AG492))^INT($AK492/12)*(1-N($AG492)*MOD($AK492,12)/12)),IF($W492="DDB",IF(N($V492)&lt;=0,0,MIN(($S492-N($U492)),$S492-$S492*(1-MIN(1,24/$V492))^INT($AK492/12)*(1-MIN(1,24/$V492)*MOD($AK492,12)/12))),IF($W492="SYD",IF(N($V492)&lt;=0,0,($S492-N($U492))*(INT(MIN($AK492,$V492)/12)*(2*($V492/12)-INT(MIN($AK492,$V492)/12)+1)/2+MOD(MIN($AK492,$V492),12)/12*(($V492/12)-INT(MIN($AK492,$V492)/12)))/(($V492/12)*(($V492/12)+1)/2)),0))))),2))</f>
        <v/>
      </c>
      <c r="AM492" s="23">
        <f>IF($X492="","",$X492-$AL492)</f>
        <v/>
      </c>
      <c r="AN492" s="23">
        <f>IF(OR($AH492="",$Y492=""),"",N($AI492)-$Y492)</f>
        <v/>
      </c>
    </row>
    <row r="493">
      <c r="Q493" s="20" t="n"/>
      <c r="R493" s="20" t="n"/>
      <c r="S493" s="21" t="n"/>
      <c r="U493" s="21" t="n"/>
      <c r="V493" s="22" t="n"/>
      <c r="X493" s="23">
        <f>IF(OR($S493="",$R493=""),"",ROUND(MAX(0,IF($W493="Straight-line",IF(N($V493)&lt;=0,0,($S493-N($U493))*MIN($AJ493,$V493)/$V493),IF($W493="Reducing balance",MIN(($S493-N($U493)),$S493-$S493*(1-N($AG493))^INT($AJ493/12)*(1-N($AG493)*MOD($AJ493,12)/12)),IF($W493="DDB",IF(N($V493)&lt;=0,0,MIN(($S493-N($U493)),$S493-$S493*(1-MIN(1,24/$V493))^INT($AJ493/12)*(1-MIN(1,24/$V493)*MOD($AJ493,12)/12))),IF($W493="SYD",IF(N($V493)&lt;=0,0,($S493-N($U493))*(INT(MIN($AJ493,$V493)/12)*(2*($V493/12)-INT(MIN($AJ493,$V493)/12)+1)/2+MOD(MIN($AJ493,$V493),12)/12*(($V493/12)-INT(MIN($AJ493,$V493)/12)))/(($V493/12)*(($V493/12)+1)/2)),0))))),2))</f>
        <v/>
      </c>
      <c r="Y493" s="23">
        <f>IF($X493="","",$S493-$X493)</f>
        <v/>
      </c>
      <c r="AD493" s="20" t="n"/>
      <c r="AG493" s="24" t="n"/>
      <c r="AH493" s="20" t="n"/>
      <c r="AI493" s="21" t="n"/>
      <c r="AJ493" s="25">
        <f>IF($R493="","",IF($R493&gt;IF($AH493&lt;&gt;"",MIN($AH493,Settings!$B$3),Settings!$B$3),0,(YEAR(IF($AH493&lt;&gt;"",MIN($AH493,Settings!$B$3),Settings!$B$3))-YEAR($R493))*12+MONTH(IF($AH493&lt;&gt;"",MIN($AH493,Settings!$B$3),Settings!$B$3))-MONTH($R493)+1))</f>
        <v/>
      </c>
      <c r="AK493" s="25">
        <f>IF($R493="","",IF($R493&gt;MIN(Settings!$B$4-1,IF($AH493&lt;&gt;"",MIN($AH493,Settings!$B$3),Settings!$B$3)),0,(YEAR(MIN(Settings!$B$4-1,IF($AH493&lt;&gt;"",MIN($AH493,Settings!$B$3),Settings!$B$3)))-YEAR($R493))*12+MONTH(MIN(Settings!$B$4-1,IF($AH493&lt;&gt;"",MIN($AH493,Settings!$B$3),Settings!$B$3)))-MONTH($R493)+1))</f>
        <v/>
      </c>
      <c r="AL493" s="23">
        <f>IF(OR($S493="",$R493=""),"",ROUND(MAX(0,IF($W493="Straight-line",IF(N($V493)&lt;=0,0,($S493-N($U493))*MIN($AK493,$V493)/$V493),IF($W493="Reducing balance",MIN(($S493-N($U493)),$S493-$S493*(1-N($AG493))^INT($AK493/12)*(1-N($AG493)*MOD($AK493,12)/12)),IF($W493="DDB",IF(N($V493)&lt;=0,0,MIN(($S493-N($U493)),$S493-$S493*(1-MIN(1,24/$V493))^INT($AK493/12)*(1-MIN(1,24/$V493)*MOD($AK493,12)/12))),IF($W493="SYD",IF(N($V493)&lt;=0,0,($S493-N($U493))*(INT(MIN($AK493,$V493)/12)*(2*($V493/12)-INT(MIN($AK493,$V493)/12)+1)/2+MOD(MIN($AK493,$V493),12)/12*(($V493/12)-INT(MIN($AK493,$V493)/12)))/(($V493/12)*(($V493/12)+1)/2)),0))))),2))</f>
        <v/>
      </c>
      <c r="AM493" s="23">
        <f>IF($X493="","",$X493-$AL493)</f>
        <v/>
      </c>
      <c r="AN493" s="23">
        <f>IF(OR($AH493="",$Y493=""),"",N($AI493)-$Y493)</f>
        <v/>
      </c>
    </row>
    <row r="494">
      <c r="Q494" s="20" t="n"/>
      <c r="R494" s="20" t="n"/>
      <c r="S494" s="21" t="n"/>
      <c r="U494" s="21" t="n"/>
      <c r="V494" s="22" t="n"/>
      <c r="X494" s="23">
        <f>IF(OR($S494="",$R494=""),"",ROUND(MAX(0,IF($W494="Straight-line",IF(N($V494)&lt;=0,0,($S494-N($U494))*MIN($AJ494,$V494)/$V494),IF($W494="Reducing balance",MIN(($S494-N($U494)),$S494-$S494*(1-N($AG494))^INT($AJ494/12)*(1-N($AG494)*MOD($AJ494,12)/12)),IF($W494="DDB",IF(N($V494)&lt;=0,0,MIN(($S494-N($U494)),$S494-$S494*(1-MIN(1,24/$V494))^INT($AJ494/12)*(1-MIN(1,24/$V494)*MOD($AJ494,12)/12))),IF($W494="SYD",IF(N($V494)&lt;=0,0,($S494-N($U494))*(INT(MIN($AJ494,$V494)/12)*(2*($V494/12)-INT(MIN($AJ494,$V494)/12)+1)/2+MOD(MIN($AJ494,$V494),12)/12*(($V494/12)-INT(MIN($AJ494,$V494)/12)))/(($V494/12)*(($V494/12)+1)/2)),0))))),2))</f>
        <v/>
      </c>
      <c r="Y494" s="23">
        <f>IF($X494="","",$S494-$X494)</f>
        <v/>
      </c>
      <c r="AD494" s="20" t="n"/>
      <c r="AG494" s="24" t="n"/>
      <c r="AH494" s="20" t="n"/>
      <c r="AI494" s="21" t="n"/>
      <c r="AJ494" s="25">
        <f>IF($R494="","",IF($R494&gt;IF($AH494&lt;&gt;"",MIN($AH494,Settings!$B$3),Settings!$B$3),0,(YEAR(IF($AH494&lt;&gt;"",MIN($AH494,Settings!$B$3),Settings!$B$3))-YEAR($R494))*12+MONTH(IF($AH494&lt;&gt;"",MIN($AH494,Settings!$B$3),Settings!$B$3))-MONTH($R494)+1))</f>
        <v/>
      </c>
      <c r="AK494" s="25">
        <f>IF($R494="","",IF($R494&gt;MIN(Settings!$B$4-1,IF($AH494&lt;&gt;"",MIN($AH494,Settings!$B$3),Settings!$B$3)),0,(YEAR(MIN(Settings!$B$4-1,IF($AH494&lt;&gt;"",MIN($AH494,Settings!$B$3),Settings!$B$3)))-YEAR($R494))*12+MONTH(MIN(Settings!$B$4-1,IF($AH494&lt;&gt;"",MIN($AH494,Settings!$B$3),Settings!$B$3)))-MONTH($R494)+1))</f>
        <v/>
      </c>
      <c r="AL494" s="23">
        <f>IF(OR($S494="",$R494=""),"",ROUND(MAX(0,IF($W494="Straight-line",IF(N($V494)&lt;=0,0,($S494-N($U494))*MIN($AK494,$V494)/$V494),IF($W494="Reducing balance",MIN(($S494-N($U494)),$S494-$S494*(1-N($AG494))^INT($AK494/12)*(1-N($AG494)*MOD($AK494,12)/12)),IF($W494="DDB",IF(N($V494)&lt;=0,0,MIN(($S494-N($U494)),$S494-$S494*(1-MIN(1,24/$V494))^INT($AK494/12)*(1-MIN(1,24/$V494)*MOD($AK494,12)/12))),IF($W494="SYD",IF(N($V494)&lt;=0,0,($S494-N($U494))*(INT(MIN($AK494,$V494)/12)*(2*($V494/12)-INT(MIN($AK494,$V494)/12)+1)/2+MOD(MIN($AK494,$V494),12)/12*(($V494/12)-INT(MIN($AK494,$V494)/12)))/(($V494/12)*(($V494/12)+1)/2)),0))))),2))</f>
        <v/>
      </c>
      <c r="AM494" s="23">
        <f>IF($X494="","",$X494-$AL494)</f>
        <v/>
      </c>
      <c r="AN494" s="23">
        <f>IF(OR($AH494="",$Y494=""),"",N($AI494)-$Y494)</f>
        <v/>
      </c>
    </row>
    <row r="495">
      <c r="Q495" s="20" t="n"/>
      <c r="R495" s="20" t="n"/>
      <c r="S495" s="21" t="n"/>
      <c r="U495" s="21" t="n"/>
      <c r="V495" s="22" t="n"/>
      <c r="X495" s="23">
        <f>IF(OR($S495="",$R495=""),"",ROUND(MAX(0,IF($W495="Straight-line",IF(N($V495)&lt;=0,0,($S495-N($U495))*MIN($AJ495,$V495)/$V495),IF($W495="Reducing balance",MIN(($S495-N($U495)),$S495-$S495*(1-N($AG495))^INT($AJ495/12)*(1-N($AG495)*MOD($AJ495,12)/12)),IF($W495="DDB",IF(N($V495)&lt;=0,0,MIN(($S495-N($U495)),$S495-$S495*(1-MIN(1,24/$V495))^INT($AJ495/12)*(1-MIN(1,24/$V495)*MOD($AJ495,12)/12))),IF($W495="SYD",IF(N($V495)&lt;=0,0,($S495-N($U495))*(INT(MIN($AJ495,$V495)/12)*(2*($V495/12)-INT(MIN($AJ495,$V495)/12)+1)/2+MOD(MIN($AJ495,$V495),12)/12*(($V495/12)-INT(MIN($AJ495,$V495)/12)))/(($V495/12)*(($V495/12)+1)/2)),0))))),2))</f>
        <v/>
      </c>
      <c r="Y495" s="23">
        <f>IF($X495="","",$S495-$X495)</f>
        <v/>
      </c>
      <c r="AD495" s="20" t="n"/>
      <c r="AG495" s="24" t="n"/>
      <c r="AH495" s="20" t="n"/>
      <c r="AI495" s="21" t="n"/>
      <c r="AJ495" s="25">
        <f>IF($R495="","",IF($R495&gt;IF($AH495&lt;&gt;"",MIN($AH495,Settings!$B$3),Settings!$B$3),0,(YEAR(IF($AH495&lt;&gt;"",MIN($AH495,Settings!$B$3),Settings!$B$3))-YEAR($R495))*12+MONTH(IF($AH495&lt;&gt;"",MIN($AH495,Settings!$B$3),Settings!$B$3))-MONTH($R495)+1))</f>
        <v/>
      </c>
      <c r="AK495" s="25">
        <f>IF($R495="","",IF($R495&gt;MIN(Settings!$B$4-1,IF($AH495&lt;&gt;"",MIN($AH495,Settings!$B$3),Settings!$B$3)),0,(YEAR(MIN(Settings!$B$4-1,IF($AH495&lt;&gt;"",MIN($AH495,Settings!$B$3),Settings!$B$3)))-YEAR($R495))*12+MONTH(MIN(Settings!$B$4-1,IF($AH495&lt;&gt;"",MIN($AH495,Settings!$B$3),Settings!$B$3)))-MONTH($R495)+1))</f>
        <v/>
      </c>
      <c r="AL495" s="23">
        <f>IF(OR($S495="",$R495=""),"",ROUND(MAX(0,IF($W495="Straight-line",IF(N($V495)&lt;=0,0,($S495-N($U495))*MIN($AK495,$V495)/$V495),IF($W495="Reducing balance",MIN(($S495-N($U495)),$S495-$S495*(1-N($AG495))^INT($AK495/12)*(1-N($AG495)*MOD($AK495,12)/12)),IF($W495="DDB",IF(N($V495)&lt;=0,0,MIN(($S495-N($U495)),$S495-$S495*(1-MIN(1,24/$V495))^INT($AK495/12)*(1-MIN(1,24/$V495)*MOD($AK495,12)/12))),IF($W495="SYD",IF(N($V495)&lt;=0,0,($S495-N($U495))*(INT(MIN($AK495,$V495)/12)*(2*($V495/12)-INT(MIN($AK495,$V495)/12)+1)/2+MOD(MIN($AK495,$V495),12)/12*(($V495/12)-INT(MIN($AK495,$V495)/12)))/(($V495/12)*(($V495/12)+1)/2)),0))))),2))</f>
        <v/>
      </c>
      <c r="AM495" s="23">
        <f>IF($X495="","",$X495-$AL495)</f>
        <v/>
      </c>
      <c r="AN495" s="23">
        <f>IF(OR($AH495="",$Y495=""),"",N($AI495)-$Y495)</f>
        <v/>
      </c>
    </row>
    <row r="496">
      <c r="Q496" s="20" t="n"/>
      <c r="R496" s="20" t="n"/>
      <c r="S496" s="21" t="n"/>
      <c r="U496" s="21" t="n"/>
      <c r="V496" s="22" t="n"/>
      <c r="X496" s="23">
        <f>IF(OR($S496="",$R496=""),"",ROUND(MAX(0,IF($W496="Straight-line",IF(N($V496)&lt;=0,0,($S496-N($U496))*MIN($AJ496,$V496)/$V496),IF($W496="Reducing balance",MIN(($S496-N($U496)),$S496-$S496*(1-N($AG496))^INT($AJ496/12)*(1-N($AG496)*MOD($AJ496,12)/12)),IF($W496="DDB",IF(N($V496)&lt;=0,0,MIN(($S496-N($U496)),$S496-$S496*(1-MIN(1,24/$V496))^INT($AJ496/12)*(1-MIN(1,24/$V496)*MOD($AJ496,12)/12))),IF($W496="SYD",IF(N($V496)&lt;=0,0,($S496-N($U496))*(INT(MIN($AJ496,$V496)/12)*(2*($V496/12)-INT(MIN($AJ496,$V496)/12)+1)/2+MOD(MIN($AJ496,$V496),12)/12*(($V496/12)-INT(MIN($AJ496,$V496)/12)))/(($V496/12)*(($V496/12)+1)/2)),0))))),2))</f>
        <v/>
      </c>
      <c r="Y496" s="23">
        <f>IF($X496="","",$S496-$X496)</f>
        <v/>
      </c>
      <c r="AD496" s="20" t="n"/>
      <c r="AG496" s="24" t="n"/>
      <c r="AH496" s="20" t="n"/>
      <c r="AI496" s="21" t="n"/>
      <c r="AJ496" s="25">
        <f>IF($R496="","",IF($R496&gt;IF($AH496&lt;&gt;"",MIN($AH496,Settings!$B$3),Settings!$B$3),0,(YEAR(IF($AH496&lt;&gt;"",MIN($AH496,Settings!$B$3),Settings!$B$3))-YEAR($R496))*12+MONTH(IF($AH496&lt;&gt;"",MIN($AH496,Settings!$B$3),Settings!$B$3))-MONTH($R496)+1))</f>
        <v/>
      </c>
      <c r="AK496" s="25">
        <f>IF($R496="","",IF($R496&gt;MIN(Settings!$B$4-1,IF($AH496&lt;&gt;"",MIN($AH496,Settings!$B$3),Settings!$B$3)),0,(YEAR(MIN(Settings!$B$4-1,IF($AH496&lt;&gt;"",MIN($AH496,Settings!$B$3),Settings!$B$3)))-YEAR($R496))*12+MONTH(MIN(Settings!$B$4-1,IF($AH496&lt;&gt;"",MIN($AH496,Settings!$B$3),Settings!$B$3)))-MONTH($R496)+1))</f>
        <v/>
      </c>
      <c r="AL496" s="23">
        <f>IF(OR($S496="",$R496=""),"",ROUND(MAX(0,IF($W496="Straight-line",IF(N($V496)&lt;=0,0,($S496-N($U496))*MIN($AK496,$V496)/$V496),IF($W496="Reducing balance",MIN(($S496-N($U496)),$S496-$S496*(1-N($AG496))^INT($AK496/12)*(1-N($AG496)*MOD($AK496,12)/12)),IF($W496="DDB",IF(N($V496)&lt;=0,0,MIN(($S496-N($U496)),$S496-$S496*(1-MIN(1,24/$V496))^INT($AK496/12)*(1-MIN(1,24/$V496)*MOD($AK496,12)/12))),IF($W496="SYD",IF(N($V496)&lt;=0,0,($S496-N($U496))*(INT(MIN($AK496,$V496)/12)*(2*($V496/12)-INT(MIN($AK496,$V496)/12)+1)/2+MOD(MIN($AK496,$V496),12)/12*(($V496/12)-INT(MIN($AK496,$V496)/12)))/(($V496/12)*(($V496/12)+1)/2)),0))))),2))</f>
        <v/>
      </c>
      <c r="AM496" s="23">
        <f>IF($X496="","",$X496-$AL496)</f>
        <v/>
      </c>
      <c r="AN496" s="23">
        <f>IF(OR($AH496="",$Y496=""),"",N($AI496)-$Y496)</f>
        <v/>
      </c>
    </row>
    <row r="497">
      <c r="Q497" s="20" t="n"/>
      <c r="R497" s="20" t="n"/>
      <c r="S497" s="21" t="n"/>
      <c r="U497" s="21" t="n"/>
      <c r="V497" s="22" t="n"/>
      <c r="X497" s="23">
        <f>IF(OR($S497="",$R497=""),"",ROUND(MAX(0,IF($W497="Straight-line",IF(N($V497)&lt;=0,0,($S497-N($U497))*MIN($AJ497,$V497)/$V497),IF($W497="Reducing balance",MIN(($S497-N($U497)),$S497-$S497*(1-N($AG497))^INT($AJ497/12)*(1-N($AG497)*MOD($AJ497,12)/12)),IF($W497="DDB",IF(N($V497)&lt;=0,0,MIN(($S497-N($U497)),$S497-$S497*(1-MIN(1,24/$V497))^INT($AJ497/12)*(1-MIN(1,24/$V497)*MOD($AJ497,12)/12))),IF($W497="SYD",IF(N($V497)&lt;=0,0,($S497-N($U497))*(INT(MIN($AJ497,$V497)/12)*(2*($V497/12)-INT(MIN($AJ497,$V497)/12)+1)/2+MOD(MIN($AJ497,$V497),12)/12*(($V497/12)-INT(MIN($AJ497,$V497)/12)))/(($V497/12)*(($V497/12)+1)/2)),0))))),2))</f>
        <v/>
      </c>
      <c r="Y497" s="23">
        <f>IF($X497="","",$S497-$X497)</f>
        <v/>
      </c>
      <c r="AD497" s="20" t="n"/>
      <c r="AG497" s="24" t="n"/>
      <c r="AH497" s="20" t="n"/>
      <c r="AI497" s="21" t="n"/>
      <c r="AJ497" s="25">
        <f>IF($R497="","",IF($R497&gt;IF($AH497&lt;&gt;"",MIN($AH497,Settings!$B$3),Settings!$B$3),0,(YEAR(IF($AH497&lt;&gt;"",MIN($AH497,Settings!$B$3),Settings!$B$3))-YEAR($R497))*12+MONTH(IF($AH497&lt;&gt;"",MIN($AH497,Settings!$B$3),Settings!$B$3))-MONTH($R497)+1))</f>
        <v/>
      </c>
      <c r="AK497" s="25">
        <f>IF($R497="","",IF($R497&gt;MIN(Settings!$B$4-1,IF($AH497&lt;&gt;"",MIN($AH497,Settings!$B$3),Settings!$B$3)),0,(YEAR(MIN(Settings!$B$4-1,IF($AH497&lt;&gt;"",MIN($AH497,Settings!$B$3),Settings!$B$3)))-YEAR($R497))*12+MONTH(MIN(Settings!$B$4-1,IF($AH497&lt;&gt;"",MIN($AH497,Settings!$B$3),Settings!$B$3)))-MONTH($R497)+1))</f>
        <v/>
      </c>
      <c r="AL497" s="23">
        <f>IF(OR($S497="",$R497=""),"",ROUND(MAX(0,IF($W497="Straight-line",IF(N($V497)&lt;=0,0,($S497-N($U497))*MIN($AK497,$V497)/$V497),IF($W497="Reducing balance",MIN(($S497-N($U497)),$S497-$S497*(1-N($AG497))^INT($AK497/12)*(1-N($AG497)*MOD($AK497,12)/12)),IF($W497="DDB",IF(N($V497)&lt;=0,0,MIN(($S497-N($U497)),$S497-$S497*(1-MIN(1,24/$V497))^INT($AK497/12)*(1-MIN(1,24/$V497)*MOD($AK497,12)/12))),IF($W497="SYD",IF(N($V497)&lt;=0,0,($S497-N($U497))*(INT(MIN($AK497,$V497)/12)*(2*($V497/12)-INT(MIN($AK497,$V497)/12)+1)/2+MOD(MIN($AK497,$V497),12)/12*(($V497/12)-INT(MIN($AK497,$V497)/12)))/(($V497/12)*(($V497/12)+1)/2)),0))))),2))</f>
        <v/>
      </c>
      <c r="AM497" s="23">
        <f>IF($X497="","",$X497-$AL497)</f>
        <v/>
      </c>
      <c r="AN497" s="23">
        <f>IF(OR($AH497="",$Y497=""),"",N($AI497)-$Y497)</f>
        <v/>
      </c>
    </row>
    <row r="498">
      <c r="Q498" s="20" t="n"/>
      <c r="R498" s="20" t="n"/>
      <c r="S498" s="21" t="n"/>
      <c r="U498" s="21" t="n"/>
      <c r="V498" s="22" t="n"/>
      <c r="X498" s="23">
        <f>IF(OR($S498="",$R498=""),"",ROUND(MAX(0,IF($W498="Straight-line",IF(N($V498)&lt;=0,0,($S498-N($U498))*MIN($AJ498,$V498)/$V498),IF($W498="Reducing balance",MIN(($S498-N($U498)),$S498-$S498*(1-N($AG498))^INT($AJ498/12)*(1-N($AG498)*MOD($AJ498,12)/12)),IF($W498="DDB",IF(N($V498)&lt;=0,0,MIN(($S498-N($U498)),$S498-$S498*(1-MIN(1,24/$V498))^INT($AJ498/12)*(1-MIN(1,24/$V498)*MOD($AJ498,12)/12))),IF($W498="SYD",IF(N($V498)&lt;=0,0,($S498-N($U498))*(INT(MIN($AJ498,$V498)/12)*(2*($V498/12)-INT(MIN($AJ498,$V498)/12)+1)/2+MOD(MIN($AJ498,$V498),12)/12*(($V498/12)-INT(MIN($AJ498,$V498)/12)))/(($V498/12)*(($V498/12)+1)/2)),0))))),2))</f>
        <v/>
      </c>
      <c r="Y498" s="23">
        <f>IF($X498="","",$S498-$X498)</f>
        <v/>
      </c>
      <c r="AD498" s="20" t="n"/>
      <c r="AG498" s="24" t="n"/>
      <c r="AH498" s="20" t="n"/>
      <c r="AI498" s="21" t="n"/>
      <c r="AJ498" s="25">
        <f>IF($R498="","",IF($R498&gt;IF($AH498&lt;&gt;"",MIN($AH498,Settings!$B$3),Settings!$B$3),0,(YEAR(IF($AH498&lt;&gt;"",MIN($AH498,Settings!$B$3),Settings!$B$3))-YEAR($R498))*12+MONTH(IF($AH498&lt;&gt;"",MIN($AH498,Settings!$B$3),Settings!$B$3))-MONTH($R498)+1))</f>
        <v/>
      </c>
      <c r="AK498" s="25">
        <f>IF($R498="","",IF($R498&gt;MIN(Settings!$B$4-1,IF($AH498&lt;&gt;"",MIN($AH498,Settings!$B$3),Settings!$B$3)),0,(YEAR(MIN(Settings!$B$4-1,IF($AH498&lt;&gt;"",MIN($AH498,Settings!$B$3),Settings!$B$3)))-YEAR($R498))*12+MONTH(MIN(Settings!$B$4-1,IF($AH498&lt;&gt;"",MIN($AH498,Settings!$B$3),Settings!$B$3)))-MONTH($R498)+1))</f>
        <v/>
      </c>
      <c r="AL498" s="23">
        <f>IF(OR($S498="",$R498=""),"",ROUND(MAX(0,IF($W498="Straight-line",IF(N($V498)&lt;=0,0,($S498-N($U498))*MIN($AK498,$V498)/$V498),IF($W498="Reducing balance",MIN(($S498-N($U498)),$S498-$S498*(1-N($AG498))^INT($AK498/12)*(1-N($AG498)*MOD($AK498,12)/12)),IF($W498="DDB",IF(N($V498)&lt;=0,0,MIN(($S498-N($U498)),$S498-$S498*(1-MIN(1,24/$V498))^INT($AK498/12)*(1-MIN(1,24/$V498)*MOD($AK498,12)/12))),IF($W498="SYD",IF(N($V498)&lt;=0,0,($S498-N($U498))*(INT(MIN($AK498,$V498)/12)*(2*($V498/12)-INT(MIN($AK498,$V498)/12)+1)/2+MOD(MIN($AK498,$V498),12)/12*(($V498/12)-INT(MIN($AK498,$V498)/12)))/(($V498/12)*(($V498/12)+1)/2)),0))))),2))</f>
        <v/>
      </c>
      <c r="AM498" s="23">
        <f>IF($X498="","",$X498-$AL498)</f>
        <v/>
      </c>
      <c r="AN498" s="23">
        <f>IF(OR($AH498="",$Y498=""),"",N($AI498)-$Y498)</f>
        <v/>
      </c>
    </row>
    <row r="499">
      <c r="Q499" s="20" t="n"/>
      <c r="R499" s="20" t="n"/>
      <c r="S499" s="21" t="n"/>
      <c r="U499" s="21" t="n"/>
      <c r="V499" s="22" t="n"/>
      <c r="X499" s="23">
        <f>IF(OR($S499="",$R499=""),"",ROUND(MAX(0,IF($W499="Straight-line",IF(N($V499)&lt;=0,0,($S499-N($U499))*MIN($AJ499,$V499)/$V499),IF($W499="Reducing balance",MIN(($S499-N($U499)),$S499-$S499*(1-N($AG499))^INT($AJ499/12)*(1-N($AG499)*MOD($AJ499,12)/12)),IF($W499="DDB",IF(N($V499)&lt;=0,0,MIN(($S499-N($U499)),$S499-$S499*(1-MIN(1,24/$V499))^INT($AJ499/12)*(1-MIN(1,24/$V499)*MOD($AJ499,12)/12))),IF($W499="SYD",IF(N($V499)&lt;=0,0,($S499-N($U499))*(INT(MIN($AJ499,$V499)/12)*(2*($V499/12)-INT(MIN($AJ499,$V499)/12)+1)/2+MOD(MIN($AJ499,$V499),12)/12*(($V499/12)-INT(MIN($AJ499,$V499)/12)))/(($V499/12)*(($V499/12)+1)/2)),0))))),2))</f>
        <v/>
      </c>
      <c r="Y499" s="23">
        <f>IF($X499="","",$S499-$X499)</f>
        <v/>
      </c>
      <c r="AD499" s="20" t="n"/>
      <c r="AG499" s="24" t="n"/>
      <c r="AH499" s="20" t="n"/>
      <c r="AI499" s="21" t="n"/>
      <c r="AJ499" s="25">
        <f>IF($R499="","",IF($R499&gt;IF($AH499&lt;&gt;"",MIN($AH499,Settings!$B$3),Settings!$B$3),0,(YEAR(IF($AH499&lt;&gt;"",MIN($AH499,Settings!$B$3),Settings!$B$3))-YEAR($R499))*12+MONTH(IF($AH499&lt;&gt;"",MIN($AH499,Settings!$B$3),Settings!$B$3))-MONTH($R499)+1))</f>
        <v/>
      </c>
      <c r="AK499" s="25">
        <f>IF($R499="","",IF($R499&gt;MIN(Settings!$B$4-1,IF($AH499&lt;&gt;"",MIN($AH499,Settings!$B$3),Settings!$B$3)),0,(YEAR(MIN(Settings!$B$4-1,IF($AH499&lt;&gt;"",MIN($AH499,Settings!$B$3),Settings!$B$3)))-YEAR($R499))*12+MONTH(MIN(Settings!$B$4-1,IF($AH499&lt;&gt;"",MIN($AH499,Settings!$B$3),Settings!$B$3)))-MONTH($R499)+1))</f>
        <v/>
      </c>
      <c r="AL499" s="23">
        <f>IF(OR($S499="",$R499=""),"",ROUND(MAX(0,IF($W499="Straight-line",IF(N($V499)&lt;=0,0,($S499-N($U499))*MIN($AK499,$V499)/$V499),IF($W499="Reducing balance",MIN(($S499-N($U499)),$S499-$S499*(1-N($AG499))^INT($AK499/12)*(1-N($AG499)*MOD($AK499,12)/12)),IF($W499="DDB",IF(N($V499)&lt;=0,0,MIN(($S499-N($U499)),$S499-$S499*(1-MIN(1,24/$V499))^INT($AK499/12)*(1-MIN(1,24/$V499)*MOD($AK499,12)/12))),IF($W499="SYD",IF(N($V499)&lt;=0,0,($S499-N($U499))*(INT(MIN($AK499,$V499)/12)*(2*($V499/12)-INT(MIN($AK499,$V499)/12)+1)/2+MOD(MIN($AK499,$V499),12)/12*(($V499/12)-INT(MIN($AK499,$V499)/12)))/(($V499/12)*(($V499/12)+1)/2)),0))))),2))</f>
        <v/>
      </c>
      <c r="AM499" s="23">
        <f>IF($X499="","",$X499-$AL499)</f>
        <v/>
      </c>
      <c r="AN499" s="23">
        <f>IF(OR($AH499="",$Y499=""),"",N($AI499)-$Y499)</f>
        <v/>
      </c>
    </row>
    <row r="500">
      <c r="Q500" s="20" t="n"/>
      <c r="R500" s="20" t="n"/>
      <c r="S500" s="21" t="n"/>
      <c r="U500" s="21" t="n"/>
      <c r="V500" s="22" t="n"/>
      <c r="X500" s="23">
        <f>IF(OR($S500="",$R500=""),"",ROUND(MAX(0,IF($W500="Straight-line",IF(N($V500)&lt;=0,0,($S500-N($U500))*MIN($AJ500,$V500)/$V500),IF($W500="Reducing balance",MIN(($S500-N($U500)),$S500-$S500*(1-N($AG500))^INT($AJ500/12)*(1-N($AG500)*MOD($AJ500,12)/12)),IF($W500="DDB",IF(N($V500)&lt;=0,0,MIN(($S500-N($U500)),$S500-$S500*(1-MIN(1,24/$V500))^INT($AJ500/12)*(1-MIN(1,24/$V500)*MOD($AJ500,12)/12))),IF($W500="SYD",IF(N($V500)&lt;=0,0,($S500-N($U500))*(INT(MIN($AJ500,$V500)/12)*(2*($V500/12)-INT(MIN($AJ500,$V500)/12)+1)/2+MOD(MIN($AJ500,$V500),12)/12*(($V500/12)-INT(MIN($AJ500,$V500)/12)))/(($V500/12)*(($V500/12)+1)/2)),0))))),2))</f>
        <v/>
      </c>
      <c r="Y500" s="23">
        <f>IF($X500="","",$S500-$X500)</f>
        <v/>
      </c>
      <c r="AD500" s="20" t="n"/>
      <c r="AG500" s="24" t="n"/>
      <c r="AH500" s="20" t="n"/>
      <c r="AI500" s="21" t="n"/>
      <c r="AJ500" s="25">
        <f>IF($R500="","",IF($R500&gt;IF($AH500&lt;&gt;"",MIN($AH500,Settings!$B$3),Settings!$B$3),0,(YEAR(IF($AH500&lt;&gt;"",MIN($AH500,Settings!$B$3),Settings!$B$3))-YEAR($R500))*12+MONTH(IF($AH500&lt;&gt;"",MIN($AH500,Settings!$B$3),Settings!$B$3))-MONTH($R500)+1))</f>
        <v/>
      </c>
      <c r="AK500" s="25">
        <f>IF($R500="","",IF($R500&gt;MIN(Settings!$B$4-1,IF($AH500&lt;&gt;"",MIN($AH500,Settings!$B$3),Settings!$B$3)),0,(YEAR(MIN(Settings!$B$4-1,IF($AH500&lt;&gt;"",MIN($AH500,Settings!$B$3),Settings!$B$3)))-YEAR($R500))*12+MONTH(MIN(Settings!$B$4-1,IF($AH500&lt;&gt;"",MIN($AH500,Settings!$B$3),Settings!$B$3)))-MONTH($R500)+1))</f>
        <v/>
      </c>
      <c r="AL500" s="23">
        <f>IF(OR($S500="",$R500=""),"",ROUND(MAX(0,IF($W500="Straight-line",IF(N($V500)&lt;=0,0,($S500-N($U500))*MIN($AK500,$V500)/$V500),IF($W500="Reducing balance",MIN(($S500-N($U500)),$S500-$S500*(1-N($AG500))^INT($AK500/12)*(1-N($AG500)*MOD($AK500,12)/12)),IF($W500="DDB",IF(N($V500)&lt;=0,0,MIN(($S500-N($U500)),$S500-$S500*(1-MIN(1,24/$V500))^INT($AK500/12)*(1-MIN(1,24/$V500)*MOD($AK500,12)/12))),IF($W500="SYD",IF(N($V500)&lt;=0,0,($S500-N($U500))*(INT(MIN($AK500,$V500)/12)*(2*($V500/12)-INT(MIN($AK500,$V500)/12)+1)/2+MOD(MIN($AK500,$V500),12)/12*(($V500/12)-INT(MIN($AK500,$V500)/12)))/(($V500/12)*(($V500/12)+1)/2)),0))))),2))</f>
        <v/>
      </c>
      <c r="AM500" s="23">
        <f>IF($X500="","",$X500-$AL500)</f>
        <v/>
      </c>
      <c r="AN500" s="23">
        <f>IF(OR($AH500="",$Y500=""),"",N($AI500)-$Y500)</f>
        <v/>
      </c>
    </row>
    <row r="501">
      <c r="Q501" s="20" t="n"/>
      <c r="R501" s="20" t="n"/>
      <c r="S501" s="21" t="n"/>
      <c r="U501" s="21" t="n"/>
      <c r="V501" s="22" t="n"/>
      <c r="X501" s="23">
        <f>IF(OR($S501="",$R501=""),"",ROUND(MAX(0,IF($W501="Straight-line",IF(N($V501)&lt;=0,0,($S501-N($U501))*MIN($AJ501,$V501)/$V501),IF($W501="Reducing balance",MIN(($S501-N($U501)),$S501-$S501*(1-N($AG501))^INT($AJ501/12)*(1-N($AG501)*MOD($AJ501,12)/12)),IF($W501="DDB",IF(N($V501)&lt;=0,0,MIN(($S501-N($U501)),$S501-$S501*(1-MIN(1,24/$V501))^INT($AJ501/12)*(1-MIN(1,24/$V501)*MOD($AJ501,12)/12))),IF($W501="SYD",IF(N($V501)&lt;=0,0,($S501-N($U501))*(INT(MIN($AJ501,$V501)/12)*(2*($V501/12)-INT(MIN($AJ501,$V501)/12)+1)/2+MOD(MIN($AJ501,$V501),12)/12*(($V501/12)-INT(MIN($AJ501,$V501)/12)))/(($V501/12)*(($V501/12)+1)/2)),0))))),2))</f>
        <v/>
      </c>
      <c r="Y501" s="23">
        <f>IF($X501="","",$S501-$X501)</f>
        <v/>
      </c>
      <c r="AD501" s="20" t="n"/>
      <c r="AG501" s="24" t="n"/>
      <c r="AH501" s="20" t="n"/>
      <c r="AI501" s="21" t="n"/>
      <c r="AJ501" s="25">
        <f>IF($R501="","",IF($R501&gt;IF($AH501&lt;&gt;"",MIN($AH501,Settings!$B$3),Settings!$B$3),0,(YEAR(IF($AH501&lt;&gt;"",MIN($AH501,Settings!$B$3),Settings!$B$3))-YEAR($R501))*12+MONTH(IF($AH501&lt;&gt;"",MIN($AH501,Settings!$B$3),Settings!$B$3))-MONTH($R501)+1))</f>
        <v/>
      </c>
      <c r="AK501" s="25">
        <f>IF($R501="","",IF($R501&gt;MIN(Settings!$B$4-1,IF($AH501&lt;&gt;"",MIN($AH501,Settings!$B$3),Settings!$B$3)),0,(YEAR(MIN(Settings!$B$4-1,IF($AH501&lt;&gt;"",MIN($AH501,Settings!$B$3),Settings!$B$3)))-YEAR($R501))*12+MONTH(MIN(Settings!$B$4-1,IF($AH501&lt;&gt;"",MIN($AH501,Settings!$B$3),Settings!$B$3)))-MONTH($R501)+1))</f>
        <v/>
      </c>
      <c r="AL501" s="23">
        <f>IF(OR($S501="",$R501=""),"",ROUND(MAX(0,IF($W501="Straight-line",IF(N($V501)&lt;=0,0,($S501-N($U501))*MIN($AK501,$V501)/$V501),IF($W501="Reducing balance",MIN(($S501-N($U501)),$S501-$S501*(1-N($AG501))^INT($AK501/12)*(1-N($AG501)*MOD($AK501,12)/12)),IF($W501="DDB",IF(N($V501)&lt;=0,0,MIN(($S501-N($U501)),$S501-$S501*(1-MIN(1,24/$V501))^INT($AK501/12)*(1-MIN(1,24/$V501)*MOD($AK501,12)/12))),IF($W501="SYD",IF(N($V501)&lt;=0,0,($S501-N($U501))*(INT(MIN($AK501,$V501)/12)*(2*($V501/12)-INT(MIN($AK501,$V501)/12)+1)/2+MOD(MIN($AK501,$V501),12)/12*(($V501/12)-INT(MIN($AK501,$V501)/12)))/(($V501/12)*(($V501/12)+1)/2)),0))))),2))</f>
        <v/>
      </c>
      <c r="AM501" s="23">
        <f>IF($X501="","",$X501-$AL501)</f>
        <v/>
      </c>
      <c r="AN501" s="23">
        <f>IF(OR($AH501="",$Y501=""),"",N($AI501)-$Y501)</f>
        <v/>
      </c>
    </row>
  </sheetData>
  <autoFilter ref="A1:AN501"/>
  <dataValidations count="10">
    <dataValidation sqref="D2:D501" showDropDown="0" showInputMessage="0" showErrorMessage="1" allowBlank="1" errorTitle="Category" error="Choose a value from the list (edit the list on the Lists sheet)." prompt="Choose from the list" type="list" errorStyle="warning">
      <formula1>Lists!$A$2:$A$10</formula1>
    </dataValidation>
    <dataValidation sqref="T2:T501" showDropDown="0" showInputMessage="0" showErrorMessage="1" allowBlank="1" errorTitle="Currency" error="Choose a value from the list (edit the list on the Lists sheet)." prompt="Choose from the list" type="list" errorStyle="warning">
      <formula1>Lists!$F$2:$F$14</formula1>
    </dataValidation>
    <dataValidation sqref="W2:W501" showDropDown="0" showInputMessage="0" showErrorMessage="1" allowBlank="1" errorTitle="Depreciation method" error="Choose a value from the list (edit the list on the Lists sheet)." prompt="Choose from the list" type="list" errorStyle="stop">
      <formula1>Lists!$B$2:$B$6</formula1>
    </dataValidation>
    <dataValidation sqref="Z2:Z501" showDropDown="0" showInputMessage="0" showErrorMessage="1" allowBlank="1" errorTitle="Condition" error="Choose a value from the list (edit the list on the Lists sheet)." prompt="Choose from the list" type="list" errorStyle="warning">
      <formula1>Lists!$C$2:$C$6</formula1>
    </dataValidation>
    <dataValidation sqref="AA2:AA501" showDropDown="0" showInputMessage="0" showErrorMessage="1" allowBlank="1" errorTitle="Status" error="Choose a value from the list (edit the list on the Lists sheet)." prompt="Choose from the list" type="list" errorStyle="warning">
      <formula1>Lists!$D$2:$D$8</formula1>
    </dataValidation>
    <dataValidation sqref="AB2:AB501" showDropDown="0" showInputMessage="0" showErrorMessage="1" allowBlank="1" errorTitle="Tag type" error="Choose a value from the list (edit the list on the Lists sheet)." prompt="Choose from the list" type="list" errorStyle="warning">
      <formula1>Lists!$E$2:$E$6</formula1>
    </dataValidation>
    <dataValidation sqref="Q2:Q501" showDropDown="0" showInputMessage="0" showErrorMessage="0" allowBlank="1" errorTitle="Date expected" error="Enter a real date, e.g. 2026-01-31 (YYYY-MM-DD)." type="date" errorStyle="warning" operator="greaterThan">
      <formula1>1</formula1>
    </dataValidation>
    <dataValidation sqref="R2:R501" showDropDown="0" showInputMessage="0" showErrorMessage="0" allowBlank="1" errorTitle="Date expected" error="Enter a real date, e.g. 2026-01-31 (YYYY-MM-DD)." type="date" errorStyle="warning" operator="greaterThan">
      <formula1>1</formula1>
    </dataValidation>
    <dataValidation sqref="AD2:AD501" showDropDown="0" showInputMessage="0" showErrorMessage="0" allowBlank="1" errorTitle="Date expected" error="Enter a real date, e.g. 2026-01-31 (YYYY-MM-DD)." type="date" errorStyle="warning" operator="greaterThan">
      <formula1>1</formula1>
    </dataValidation>
    <dataValidation sqref="AH2:AH501" showDropDown="0" showInputMessage="0" showErrorMessage="0" allowBlank="1" errorTitle="Date expected" error="Enter a real date, e.g. 2026-01-31 (YYYY-MM-DD)." type="date" errorStyle="warning" operator="greaterThan">
      <formula1>1</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66"/>
  <sheetViews>
    <sheetView workbookViewId="0">
      <pane ySplit="11" topLeftCell="A12" activePane="bottomLeft" state="frozen"/>
      <selection pane="bottomLeft" activeCell="A1" sqref="A1"/>
    </sheetView>
  </sheetViews>
  <sheetFormatPr baseColWidth="8" defaultRowHeight="15"/>
  <cols>
    <col width="34" customWidth="1" min="1" max="1"/>
    <col width="17" customWidth="1" min="2" max="2"/>
    <col width="17" customWidth="1" min="3" max="3"/>
    <col width="17" customWidth="1" min="4" max="4"/>
    <col width="17" customWidth="1" min="5" max="5"/>
    <col width="17" customWidth="1" min="6" max="6"/>
  </cols>
  <sheetData>
    <row r="1">
      <c r="A1" s="1" t="inlineStr">
        <is>
          <t>Depreciation schedule — one asset, year by year</t>
        </is>
      </c>
    </row>
    <row r="3">
      <c r="A3" s="10" t="inlineStr">
        <is>
          <t>Asset</t>
        </is>
      </c>
      <c r="B3" s="12" t="inlineStr">
        <is>
          <t>Toyota Hilux double cab (example)</t>
        </is>
      </c>
      <c r="C3" s="9" t="inlineStr">
        <is>
          <t>Change the teal cells. Method: Straight-line, Reducing balance, DDB or SYD. Full-year convention (a full year in year 1).</t>
        </is>
      </c>
    </row>
    <row r="4">
      <c r="A4" s="10" t="inlineStr">
        <is>
          <t>Cost</t>
        </is>
      </c>
      <c r="B4" s="26" t="n">
        <v>38500</v>
      </c>
    </row>
    <row r="5">
      <c r="A5" s="10" t="inlineStr">
        <is>
          <t>Residual (salvage) value</t>
        </is>
      </c>
      <c r="B5" s="26" t="n">
        <v>8000</v>
      </c>
    </row>
    <row r="6">
      <c r="A6" s="10" t="inlineStr">
        <is>
          <t>Useful life (years)</t>
        </is>
      </c>
      <c r="B6" s="27" t="n">
        <v>8</v>
      </c>
    </row>
    <row r="7">
      <c r="A7" s="10" t="inlineStr">
        <is>
          <t>Method</t>
        </is>
      </c>
      <c r="B7" s="12" t="inlineStr">
        <is>
          <t>Straight-line</t>
        </is>
      </c>
    </row>
    <row r="8">
      <c r="A8" s="10" t="inlineStr">
        <is>
          <t>Reducing-balance rate (% a year)</t>
        </is>
      </c>
      <c r="B8" s="28" t="n">
        <v>0.25</v>
      </c>
      <c r="C8" s="9" t="inlineStr">
        <is>
          <t>Used only for Reducing balance. DDB uses 2 ÷ useful life.</t>
        </is>
      </c>
    </row>
    <row r="9">
      <c r="A9" s="10" t="inlineStr">
        <is>
          <t>First financial year</t>
        </is>
      </c>
      <c r="B9" s="27" t="n">
        <v>2026</v>
      </c>
    </row>
    <row r="11" ht="32" customHeight="1">
      <c r="A11" s="14" t="inlineStr">
        <is>
          <t>Year of life</t>
        </is>
      </c>
      <c r="B11" s="14" t="inlineStr">
        <is>
          <t>Financial year</t>
        </is>
      </c>
      <c r="C11" s="14" t="inlineStr">
        <is>
          <t>Opening book value</t>
        </is>
      </c>
      <c r="D11" s="14" t="inlineStr">
        <is>
          <t>Depreciation</t>
        </is>
      </c>
      <c r="E11" s="14" t="inlineStr">
        <is>
          <t>Accumulated depreciation</t>
        </is>
      </c>
      <c r="F11" s="14" t="inlineStr">
        <is>
          <t>Closing book value</t>
        </is>
      </c>
    </row>
    <row r="12">
      <c r="A12" s="29">
        <f>IF(1&gt;$B$6,"",1)</f>
        <v/>
      </c>
      <c r="B12" s="29">
        <f>IF(A12="","",$B$9+A12-1)</f>
        <v/>
      </c>
      <c r="C12" s="30">
        <f>IF(A12="","",$B$4)</f>
        <v/>
      </c>
      <c r="D12" s="30">
        <f>IF(A12="","",IF(AND(A12=$B$6,$B$7&lt;&gt;"Reducing balance"),C12-$B$5,ROUND(MAX(0,IF($B$7="Straight-line",($B$4-$B$5)/$B$6,IF($B$7="Reducing balance",MIN(C12*$B$8,C12-$B$5),IF($B$7="DDB",MIN(MAX(C12*MIN(1,2/$B$6),(C12-$B$5)/($B$6-A12+1)),C12-$B$5),($B$4-$B$5)*($B$6-A12+1)/($B$6*($B$6+1)/2))))),2)))</f>
        <v/>
      </c>
      <c r="E12" s="30">
        <f>IF(A12="","",ROUND(0+D12,2))</f>
        <v/>
      </c>
      <c r="F12" s="30">
        <f>IF(A12="","",ROUND(C12-D12,2))</f>
        <v/>
      </c>
    </row>
    <row r="13">
      <c r="A13" s="29">
        <f>IF(2&gt;$B$6,"",2)</f>
        <v/>
      </c>
      <c r="B13" s="29">
        <f>IF(A13="","",$B$9+A13-1)</f>
        <v/>
      </c>
      <c r="C13" s="30">
        <f>IF(A13="","",F12)</f>
        <v/>
      </c>
      <c r="D13" s="30">
        <f>IF(A13="","",IF(AND(A13=$B$6,$B$7&lt;&gt;"Reducing balance"),C13-$B$5,ROUND(MAX(0,IF($B$7="Straight-line",($B$4-$B$5)/$B$6,IF($B$7="Reducing balance",MIN(C13*$B$8,C13-$B$5),IF($B$7="DDB",MIN(MAX(C13*MIN(1,2/$B$6),(C13-$B$5)/($B$6-A13+1)),C13-$B$5),($B$4-$B$5)*($B$6-A13+1)/($B$6*($B$6+1)/2))))),2)))</f>
        <v/>
      </c>
      <c r="E13" s="30">
        <f>IF(A13="","",ROUND(E12+D13,2))</f>
        <v/>
      </c>
      <c r="F13" s="30">
        <f>IF(A13="","",ROUND(C13-D13,2))</f>
        <v/>
      </c>
    </row>
    <row r="14">
      <c r="A14" s="29">
        <f>IF(3&gt;$B$6,"",3)</f>
        <v/>
      </c>
      <c r="B14" s="29">
        <f>IF(A14="","",$B$9+A14-1)</f>
        <v/>
      </c>
      <c r="C14" s="30">
        <f>IF(A14="","",F13)</f>
        <v/>
      </c>
      <c r="D14" s="30">
        <f>IF(A14="","",IF(AND(A14=$B$6,$B$7&lt;&gt;"Reducing balance"),C14-$B$5,ROUND(MAX(0,IF($B$7="Straight-line",($B$4-$B$5)/$B$6,IF($B$7="Reducing balance",MIN(C14*$B$8,C14-$B$5),IF($B$7="DDB",MIN(MAX(C14*MIN(1,2/$B$6),(C14-$B$5)/($B$6-A14+1)),C14-$B$5),($B$4-$B$5)*($B$6-A14+1)/($B$6*($B$6+1)/2))))),2)))</f>
        <v/>
      </c>
      <c r="E14" s="30">
        <f>IF(A14="","",ROUND(E13+D14,2))</f>
        <v/>
      </c>
      <c r="F14" s="30">
        <f>IF(A14="","",ROUND(C14-D14,2))</f>
        <v/>
      </c>
    </row>
    <row r="15">
      <c r="A15" s="29">
        <f>IF(4&gt;$B$6,"",4)</f>
        <v/>
      </c>
      <c r="B15" s="29">
        <f>IF(A15="","",$B$9+A15-1)</f>
        <v/>
      </c>
      <c r="C15" s="30">
        <f>IF(A15="","",F14)</f>
        <v/>
      </c>
      <c r="D15" s="30">
        <f>IF(A15="","",IF(AND(A15=$B$6,$B$7&lt;&gt;"Reducing balance"),C15-$B$5,ROUND(MAX(0,IF($B$7="Straight-line",($B$4-$B$5)/$B$6,IF($B$7="Reducing balance",MIN(C15*$B$8,C15-$B$5),IF($B$7="DDB",MIN(MAX(C15*MIN(1,2/$B$6),(C15-$B$5)/($B$6-A15+1)),C15-$B$5),($B$4-$B$5)*($B$6-A15+1)/($B$6*($B$6+1)/2))))),2)))</f>
        <v/>
      </c>
      <c r="E15" s="30">
        <f>IF(A15="","",ROUND(E14+D15,2))</f>
        <v/>
      </c>
      <c r="F15" s="30">
        <f>IF(A15="","",ROUND(C15-D15,2))</f>
        <v/>
      </c>
    </row>
    <row r="16">
      <c r="A16" s="29">
        <f>IF(5&gt;$B$6,"",5)</f>
        <v/>
      </c>
      <c r="B16" s="29">
        <f>IF(A16="","",$B$9+A16-1)</f>
        <v/>
      </c>
      <c r="C16" s="30">
        <f>IF(A16="","",F15)</f>
        <v/>
      </c>
      <c r="D16" s="30">
        <f>IF(A16="","",IF(AND(A16=$B$6,$B$7&lt;&gt;"Reducing balance"),C16-$B$5,ROUND(MAX(0,IF($B$7="Straight-line",($B$4-$B$5)/$B$6,IF($B$7="Reducing balance",MIN(C16*$B$8,C16-$B$5),IF($B$7="DDB",MIN(MAX(C16*MIN(1,2/$B$6),(C16-$B$5)/($B$6-A16+1)),C16-$B$5),($B$4-$B$5)*($B$6-A16+1)/($B$6*($B$6+1)/2))))),2)))</f>
        <v/>
      </c>
      <c r="E16" s="30">
        <f>IF(A16="","",ROUND(E15+D16,2))</f>
        <v/>
      </c>
      <c r="F16" s="30">
        <f>IF(A16="","",ROUND(C16-D16,2))</f>
        <v/>
      </c>
    </row>
    <row r="17">
      <c r="A17" s="29">
        <f>IF(6&gt;$B$6,"",6)</f>
        <v/>
      </c>
      <c r="B17" s="29">
        <f>IF(A17="","",$B$9+A17-1)</f>
        <v/>
      </c>
      <c r="C17" s="30">
        <f>IF(A17="","",F16)</f>
        <v/>
      </c>
      <c r="D17" s="30">
        <f>IF(A17="","",IF(AND(A17=$B$6,$B$7&lt;&gt;"Reducing balance"),C17-$B$5,ROUND(MAX(0,IF($B$7="Straight-line",($B$4-$B$5)/$B$6,IF($B$7="Reducing balance",MIN(C17*$B$8,C17-$B$5),IF($B$7="DDB",MIN(MAX(C17*MIN(1,2/$B$6),(C17-$B$5)/($B$6-A17+1)),C17-$B$5),($B$4-$B$5)*($B$6-A17+1)/($B$6*($B$6+1)/2))))),2)))</f>
        <v/>
      </c>
      <c r="E17" s="30">
        <f>IF(A17="","",ROUND(E16+D17,2))</f>
        <v/>
      </c>
      <c r="F17" s="30">
        <f>IF(A17="","",ROUND(C17-D17,2))</f>
        <v/>
      </c>
    </row>
    <row r="18">
      <c r="A18" s="29">
        <f>IF(7&gt;$B$6,"",7)</f>
        <v/>
      </c>
      <c r="B18" s="29">
        <f>IF(A18="","",$B$9+A18-1)</f>
        <v/>
      </c>
      <c r="C18" s="30">
        <f>IF(A18="","",F17)</f>
        <v/>
      </c>
      <c r="D18" s="30">
        <f>IF(A18="","",IF(AND(A18=$B$6,$B$7&lt;&gt;"Reducing balance"),C18-$B$5,ROUND(MAX(0,IF($B$7="Straight-line",($B$4-$B$5)/$B$6,IF($B$7="Reducing balance",MIN(C18*$B$8,C18-$B$5),IF($B$7="DDB",MIN(MAX(C18*MIN(1,2/$B$6),(C18-$B$5)/($B$6-A18+1)),C18-$B$5),($B$4-$B$5)*($B$6-A18+1)/($B$6*($B$6+1)/2))))),2)))</f>
        <v/>
      </c>
      <c r="E18" s="30">
        <f>IF(A18="","",ROUND(E17+D18,2))</f>
        <v/>
      </c>
      <c r="F18" s="30">
        <f>IF(A18="","",ROUND(C18-D18,2))</f>
        <v/>
      </c>
    </row>
    <row r="19">
      <c r="A19" s="29">
        <f>IF(8&gt;$B$6,"",8)</f>
        <v/>
      </c>
      <c r="B19" s="29">
        <f>IF(A19="","",$B$9+A19-1)</f>
        <v/>
      </c>
      <c r="C19" s="30">
        <f>IF(A19="","",F18)</f>
        <v/>
      </c>
      <c r="D19" s="30">
        <f>IF(A19="","",IF(AND(A19=$B$6,$B$7&lt;&gt;"Reducing balance"),C19-$B$5,ROUND(MAX(0,IF($B$7="Straight-line",($B$4-$B$5)/$B$6,IF($B$7="Reducing balance",MIN(C19*$B$8,C19-$B$5),IF($B$7="DDB",MIN(MAX(C19*MIN(1,2/$B$6),(C19-$B$5)/($B$6-A19+1)),C19-$B$5),($B$4-$B$5)*($B$6-A19+1)/($B$6*($B$6+1)/2))))),2)))</f>
        <v/>
      </c>
      <c r="E19" s="30">
        <f>IF(A19="","",ROUND(E18+D19,2))</f>
        <v/>
      </c>
      <c r="F19" s="30">
        <f>IF(A19="","",ROUND(C19-D19,2))</f>
        <v/>
      </c>
    </row>
    <row r="20">
      <c r="A20" s="29">
        <f>IF(9&gt;$B$6,"",9)</f>
        <v/>
      </c>
      <c r="B20" s="29">
        <f>IF(A20="","",$B$9+A20-1)</f>
        <v/>
      </c>
      <c r="C20" s="30">
        <f>IF(A20="","",F19)</f>
        <v/>
      </c>
      <c r="D20" s="30">
        <f>IF(A20="","",IF(AND(A20=$B$6,$B$7&lt;&gt;"Reducing balance"),C20-$B$5,ROUND(MAX(0,IF($B$7="Straight-line",($B$4-$B$5)/$B$6,IF($B$7="Reducing balance",MIN(C20*$B$8,C20-$B$5),IF($B$7="DDB",MIN(MAX(C20*MIN(1,2/$B$6),(C20-$B$5)/($B$6-A20+1)),C20-$B$5),($B$4-$B$5)*($B$6-A20+1)/($B$6*($B$6+1)/2))))),2)))</f>
        <v/>
      </c>
      <c r="E20" s="30">
        <f>IF(A20="","",ROUND(E19+D20,2))</f>
        <v/>
      </c>
      <c r="F20" s="30">
        <f>IF(A20="","",ROUND(C20-D20,2))</f>
        <v/>
      </c>
    </row>
    <row r="21">
      <c r="A21" s="29">
        <f>IF(10&gt;$B$6,"",10)</f>
        <v/>
      </c>
      <c r="B21" s="29">
        <f>IF(A21="","",$B$9+A21-1)</f>
        <v/>
      </c>
      <c r="C21" s="30">
        <f>IF(A21="","",F20)</f>
        <v/>
      </c>
      <c r="D21" s="30">
        <f>IF(A21="","",IF(AND(A21=$B$6,$B$7&lt;&gt;"Reducing balance"),C21-$B$5,ROUND(MAX(0,IF($B$7="Straight-line",($B$4-$B$5)/$B$6,IF($B$7="Reducing balance",MIN(C21*$B$8,C21-$B$5),IF($B$7="DDB",MIN(MAX(C21*MIN(1,2/$B$6),(C21-$B$5)/($B$6-A21+1)),C21-$B$5),($B$4-$B$5)*($B$6-A21+1)/($B$6*($B$6+1)/2))))),2)))</f>
        <v/>
      </c>
      <c r="E21" s="30">
        <f>IF(A21="","",ROUND(E20+D21,2))</f>
        <v/>
      </c>
      <c r="F21" s="30">
        <f>IF(A21="","",ROUND(C21-D21,2))</f>
        <v/>
      </c>
    </row>
    <row r="22">
      <c r="A22" s="29">
        <f>IF(11&gt;$B$6,"",11)</f>
        <v/>
      </c>
      <c r="B22" s="29">
        <f>IF(A22="","",$B$9+A22-1)</f>
        <v/>
      </c>
      <c r="C22" s="30">
        <f>IF(A22="","",F21)</f>
        <v/>
      </c>
      <c r="D22" s="30">
        <f>IF(A22="","",IF(AND(A22=$B$6,$B$7&lt;&gt;"Reducing balance"),C22-$B$5,ROUND(MAX(0,IF($B$7="Straight-line",($B$4-$B$5)/$B$6,IF($B$7="Reducing balance",MIN(C22*$B$8,C22-$B$5),IF($B$7="DDB",MIN(MAX(C22*MIN(1,2/$B$6),(C22-$B$5)/($B$6-A22+1)),C22-$B$5),($B$4-$B$5)*($B$6-A22+1)/($B$6*($B$6+1)/2))))),2)))</f>
        <v/>
      </c>
      <c r="E22" s="30">
        <f>IF(A22="","",ROUND(E21+D22,2))</f>
        <v/>
      </c>
      <c r="F22" s="30">
        <f>IF(A22="","",ROUND(C22-D22,2))</f>
        <v/>
      </c>
    </row>
    <row r="23">
      <c r="A23" s="29">
        <f>IF(12&gt;$B$6,"",12)</f>
        <v/>
      </c>
      <c r="B23" s="29">
        <f>IF(A23="","",$B$9+A23-1)</f>
        <v/>
      </c>
      <c r="C23" s="30">
        <f>IF(A23="","",F22)</f>
        <v/>
      </c>
      <c r="D23" s="30">
        <f>IF(A23="","",IF(AND(A23=$B$6,$B$7&lt;&gt;"Reducing balance"),C23-$B$5,ROUND(MAX(0,IF($B$7="Straight-line",($B$4-$B$5)/$B$6,IF($B$7="Reducing balance",MIN(C23*$B$8,C23-$B$5),IF($B$7="DDB",MIN(MAX(C23*MIN(1,2/$B$6),(C23-$B$5)/($B$6-A23+1)),C23-$B$5),($B$4-$B$5)*($B$6-A23+1)/($B$6*($B$6+1)/2))))),2)))</f>
        <v/>
      </c>
      <c r="E23" s="30">
        <f>IF(A23="","",ROUND(E22+D23,2))</f>
        <v/>
      </c>
      <c r="F23" s="30">
        <f>IF(A23="","",ROUND(C23-D23,2))</f>
        <v/>
      </c>
    </row>
    <row r="24">
      <c r="A24" s="29">
        <f>IF(13&gt;$B$6,"",13)</f>
        <v/>
      </c>
      <c r="B24" s="29">
        <f>IF(A24="","",$B$9+A24-1)</f>
        <v/>
      </c>
      <c r="C24" s="30">
        <f>IF(A24="","",F23)</f>
        <v/>
      </c>
      <c r="D24" s="30">
        <f>IF(A24="","",IF(AND(A24=$B$6,$B$7&lt;&gt;"Reducing balance"),C24-$B$5,ROUND(MAX(0,IF($B$7="Straight-line",($B$4-$B$5)/$B$6,IF($B$7="Reducing balance",MIN(C24*$B$8,C24-$B$5),IF($B$7="DDB",MIN(MAX(C24*MIN(1,2/$B$6),(C24-$B$5)/($B$6-A24+1)),C24-$B$5),($B$4-$B$5)*($B$6-A24+1)/($B$6*($B$6+1)/2))))),2)))</f>
        <v/>
      </c>
      <c r="E24" s="30">
        <f>IF(A24="","",ROUND(E23+D24,2))</f>
        <v/>
      </c>
      <c r="F24" s="30">
        <f>IF(A24="","",ROUND(C24-D24,2))</f>
        <v/>
      </c>
    </row>
    <row r="25">
      <c r="A25" s="29">
        <f>IF(14&gt;$B$6,"",14)</f>
        <v/>
      </c>
      <c r="B25" s="29">
        <f>IF(A25="","",$B$9+A25-1)</f>
        <v/>
      </c>
      <c r="C25" s="30">
        <f>IF(A25="","",F24)</f>
        <v/>
      </c>
      <c r="D25" s="30">
        <f>IF(A25="","",IF(AND(A25=$B$6,$B$7&lt;&gt;"Reducing balance"),C25-$B$5,ROUND(MAX(0,IF($B$7="Straight-line",($B$4-$B$5)/$B$6,IF($B$7="Reducing balance",MIN(C25*$B$8,C25-$B$5),IF($B$7="DDB",MIN(MAX(C25*MIN(1,2/$B$6),(C25-$B$5)/($B$6-A25+1)),C25-$B$5),($B$4-$B$5)*($B$6-A25+1)/($B$6*($B$6+1)/2))))),2)))</f>
        <v/>
      </c>
      <c r="E25" s="30">
        <f>IF(A25="","",ROUND(E24+D25,2))</f>
        <v/>
      </c>
      <c r="F25" s="30">
        <f>IF(A25="","",ROUND(C25-D25,2))</f>
        <v/>
      </c>
    </row>
    <row r="26">
      <c r="A26" s="29">
        <f>IF(15&gt;$B$6,"",15)</f>
        <v/>
      </c>
      <c r="B26" s="29">
        <f>IF(A26="","",$B$9+A26-1)</f>
        <v/>
      </c>
      <c r="C26" s="30">
        <f>IF(A26="","",F25)</f>
        <v/>
      </c>
      <c r="D26" s="30">
        <f>IF(A26="","",IF(AND(A26=$B$6,$B$7&lt;&gt;"Reducing balance"),C26-$B$5,ROUND(MAX(0,IF($B$7="Straight-line",($B$4-$B$5)/$B$6,IF($B$7="Reducing balance",MIN(C26*$B$8,C26-$B$5),IF($B$7="DDB",MIN(MAX(C26*MIN(1,2/$B$6),(C26-$B$5)/($B$6-A26+1)),C26-$B$5),($B$4-$B$5)*($B$6-A26+1)/($B$6*($B$6+1)/2))))),2)))</f>
        <v/>
      </c>
      <c r="E26" s="30">
        <f>IF(A26="","",ROUND(E25+D26,2))</f>
        <v/>
      </c>
      <c r="F26" s="30">
        <f>IF(A26="","",ROUND(C26-D26,2))</f>
        <v/>
      </c>
    </row>
    <row r="27">
      <c r="A27" s="29">
        <f>IF(16&gt;$B$6,"",16)</f>
        <v/>
      </c>
      <c r="B27" s="29">
        <f>IF(A27="","",$B$9+A27-1)</f>
        <v/>
      </c>
      <c r="C27" s="30">
        <f>IF(A27="","",F26)</f>
        <v/>
      </c>
      <c r="D27" s="30">
        <f>IF(A27="","",IF(AND(A27=$B$6,$B$7&lt;&gt;"Reducing balance"),C27-$B$5,ROUND(MAX(0,IF($B$7="Straight-line",($B$4-$B$5)/$B$6,IF($B$7="Reducing balance",MIN(C27*$B$8,C27-$B$5),IF($B$7="DDB",MIN(MAX(C27*MIN(1,2/$B$6),(C27-$B$5)/($B$6-A27+1)),C27-$B$5),($B$4-$B$5)*($B$6-A27+1)/($B$6*($B$6+1)/2))))),2)))</f>
        <v/>
      </c>
      <c r="E27" s="30">
        <f>IF(A27="","",ROUND(E26+D27,2))</f>
        <v/>
      </c>
      <c r="F27" s="30">
        <f>IF(A27="","",ROUND(C27-D27,2))</f>
        <v/>
      </c>
    </row>
    <row r="28">
      <c r="A28" s="29">
        <f>IF(17&gt;$B$6,"",17)</f>
        <v/>
      </c>
      <c r="B28" s="29">
        <f>IF(A28="","",$B$9+A28-1)</f>
        <v/>
      </c>
      <c r="C28" s="30">
        <f>IF(A28="","",F27)</f>
        <v/>
      </c>
      <c r="D28" s="30">
        <f>IF(A28="","",IF(AND(A28=$B$6,$B$7&lt;&gt;"Reducing balance"),C28-$B$5,ROUND(MAX(0,IF($B$7="Straight-line",($B$4-$B$5)/$B$6,IF($B$7="Reducing balance",MIN(C28*$B$8,C28-$B$5),IF($B$7="DDB",MIN(MAX(C28*MIN(1,2/$B$6),(C28-$B$5)/($B$6-A28+1)),C28-$B$5),($B$4-$B$5)*($B$6-A28+1)/($B$6*($B$6+1)/2))))),2)))</f>
        <v/>
      </c>
      <c r="E28" s="30">
        <f>IF(A28="","",ROUND(E27+D28,2))</f>
        <v/>
      </c>
      <c r="F28" s="30">
        <f>IF(A28="","",ROUND(C28-D28,2))</f>
        <v/>
      </c>
    </row>
    <row r="29">
      <c r="A29" s="29">
        <f>IF(18&gt;$B$6,"",18)</f>
        <v/>
      </c>
      <c r="B29" s="29">
        <f>IF(A29="","",$B$9+A29-1)</f>
        <v/>
      </c>
      <c r="C29" s="30">
        <f>IF(A29="","",F28)</f>
        <v/>
      </c>
      <c r="D29" s="30">
        <f>IF(A29="","",IF(AND(A29=$B$6,$B$7&lt;&gt;"Reducing balance"),C29-$B$5,ROUND(MAX(0,IF($B$7="Straight-line",($B$4-$B$5)/$B$6,IF($B$7="Reducing balance",MIN(C29*$B$8,C29-$B$5),IF($B$7="DDB",MIN(MAX(C29*MIN(1,2/$B$6),(C29-$B$5)/($B$6-A29+1)),C29-$B$5),($B$4-$B$5)*($B$6-A29+1)/($B$6*($B$6+1)/2))))),2)))</f>
        <v/>
      </c>
      <c r="E29" s="30">
        <f>IF(A29="","",ROUND(E28+D29,2))</f>
        <v/>
      </c>
      <c r="F29" s="30">
        <f>IF(A29="","",ROUND(C29-D29,2))</f>
        <v/>
      </c>
    </row>
    <row r="30">
      <c r="A30" s="29">
        <f>IF(19&gt;$B$6,"",19)</f>
        <v/>
      </c>
      <c r="B30" s="29">
        <f>IF(A30="","",$B$9+A30-1)</f>
        <v/>
      </c>
      <c r="C30" s="30">
        <f>IF(A30="","",F29)</f>
        <v/>
      </c>
      <c r="D30" s="30">
        <f>IF(A30="","",IF(AND(A30=$B$6,$B$7&lt;&gt;"Reducing balance"),C30-$B$5,ROUND(MAX(0,IF($B$7="Straight-line",($B$4-$B$5)/$B$6,IF($B$7="Reducing balance",MIN(C30*$B$8,C30-$B$5),IF($B$7="DDB",MIN(MAX(C30*MIN(1,2/$B$6),(C30-$B$5)/($B$6-A30+1)),C30-$B$5),($B$4-$B$5)*($B$6-A30+1)/($B$6*($B$6+1)/2))))),2)))</f>
        <v/>
      </c>
      <c r="E30" s="30">
        <f>IF(A30="","",ROUND(E29+D30,2))</f>
        <v/>
      </c>
      <c r="F30" s="30">
        <f>IF(A30="","",ROUND(C30-D30,2))</f>
        <v/>
      </c>
    </row>
    <row r="31">
      <c r="A31" s="29">
        <f>IF(20&gt;$B$6,"",20)</f>
        <v/>
      </c>
      <c r="B31" s="29">
        <f>IF(A31="","",$B$9+A31-1)</f>
        <v/>
      </c>
      <c r="C31" s="30">
        <f>IF(A31="","",F30)</f>
        <v/>
      </c>
      <c r="D31" s="30">
        <f>IF(A31="","",IF(AND(A31=$B$6,$B$7&lt;&gt;"Reducing balance"),C31-$B$5,ROUND(MAX(0,IF($B$7="Straight-line",($B$4-$B$5)/$B$6,IF($B$7="Reducing balance",MIN(C31*$B$8,C31-$B$5),IF($B$7="DDB",MIN(MAX(C31*MIN(1,2/$B$6),(C31-$B$5)/($B$6-A31+1)),C31-$B$5),($B$4-$B$5)*($B$6-A31+1)/($B$6*($B$6+1)/2))))),2)))</f>
        <v/>
      </c>
      <c r="E31" s="30">
        <f>IF(A31="","",ROUND(E30+D31,2))</f>
        <v/>
      </c>
      <c r="F31" s="30">
        <f>IF(A31="","",ROUND(C31-D31,2))</f>
        <v/>
      </c>
    </row>
    <row r="32">
      <c r="A32" s="29">
        <f>IF(21&gt;$B$6,"",21)</f>
        <v/>
      </c>
      <c r="B32" s="29">
        <f>IF(A32="","",$B$9+A32-1)</f>
        <v/>
      </c>
      <c r="C32" s="30">
        <f>IF(A32="","",F31)</f>
        <v/>
      </c>
      <c r="D32" s="30">
        <f>IF(A32="","",IF(AND(A32=$B$6,$B$7&lt;&gt;"Reducing balance"),C32-$B$5,ROUND(MAX(0,IF($B$7="Straight-line",($B$4-$B$5)/$B$6,IF($B$7="Reducing balance",MIN(C32*$B$8,C32-$B$5),IF($B$7="DDB",MIN(MAX(C32*MIN(1,2/$B$6),(C32-$B$5)/($B$6-A32+1)),C32-$B$5),($B$4-$B$5)*($B$6-A32+1)/($B$6*($B$6+1)/2))))),2)))</f>
        <v/>
      </c>
      <c r="E32" s="30">
        <f>IF(A32="","",ROUND(E31+D32,2))</f>
        <v/>
      </c>
      <c r="F32" s="30">
        <f>IF(A32="","",ROUND(C32-D32,2))</f>
        <v/>
      </c>
    </row>
    <row r="33">
      <c r="A33" s="29">
        <f>IF(22&gt;$B$6,"",22)</f>
        <v/>
      </c>
      <c r="B33" s="29">
        <f>IF(A33="","",$B$9+A33-1)</f>
        <v/>
      </c>
      <c r="C33" s="30">
        <f>IF(A33="","",F32)</f>
        <v/>
      </c>
      <c r="D33" s="30">
        <f>IF(A33="","",IF(AND(A33=$B$6,$B$7&lt;&gt;"Reducing balance"),C33-$B$5,ROUND(MAX(0,IF($B$7="Straight-line",($B$4-$B$5)/$B$6,IF($B$7="Reducing balance",MIN(C33*$B$8,C33-$B$5),IF($B$7="DDB",MIN(MAX(C33*MIN(1,2/$B$6),(C33-$B$5)/($B$6-A33+1)),C33-$B$5),($B$4-$B$5)*($B$6-A33+1)/($B$6*($B$6+1)/2))))),2)))</f>
        <v/>
      </c>
      <c r="E33" s="30">
        <f>IF(A33="","",ROUND(E32+D33,2))</f>
        <v/>
      </c>
      <c r="F33" s="30">
        <f>IF(A33="","",ROUND(C33-D33,2))</f>
        <v/>
      </c>
    </row>
    <row r="34">
      <c r="A34" s="29">
        <f>IF(23&gt;$B$6,"",23)</f>
        <v/>
      </c>
      <c r="B34" s="29">
        <f>IF(A34="","",$B$9+A34-1)</f>
        <v/>
      </c>
      <c r="C34" s="30">
        <f>IF(A34="","",F33)</f>
        <v/>
      </c>
      <c r="D34" s="30">
        <f>IF(A34="","",IF(AND(A34=$B$6,$B$7&lt;&gt;"Reducing balance"),C34-$B$5,ROUND(MAX(0,IF($B$7="Straight-line",($B$4-$B$5)/$B$6,IF($B$7="Reducing balance",MIN(C34*$B$8,C34-$B$5),IF($B$7="DDB",MIN(MAX(C34*MIN(1,2/$B$6),(C34-$B$5)/($B$6-A34+1)),C34-$B$5),($B$4-$B$5)*($B$6-A34+1)/($B$6*($B$6+1)/2))))),2)))</f>
        <v/>
      </c>
      <c r="E34" s="30">
        <f>IF(A34="","",ROUND(E33+D34,2))</f>
        <v/>
      </c>
      <c r="F34" s="30">
        <f>IF(A34="","",ROUND(C34-D34,2))</f>
        <v/>
      </c>
    </row>
    <row r="35">
      <c r="A35" s="29">
        <f>IF(24&gt;$B$6,"",24)</f>
        <v/>
      </c>
      <c r="B35" s="29">
        <f>IF(A35="","",$B$9+A35-1)</f>
        <v/>
      </c>
      <c r="C35" s="30">
        <f>IF(A35="","",F34)</f>
        <v/>
      </c>
      <c r="D35" s="30">
        <f>IF(A35="","",IF(AND(A35=$B$6,$B$7&lt;&gt;"Reducing balance"),C35-$B$5,ROUND(MAX(0,IF($B$7="Straight-line",($B$4-$B$5)/$B$6,IF($B$7="Reducing balance",MIN(C35*$B$8,C35-$B$5),IF($B$7="DDB",MIN(MAX(C35*MIN(1,2/$B$6),(C35-$B$5)/($B$6-A35+1)),C35-$B$5),($B$4-$B$5)*($B$6-A35+1)/($B$6*($B$6+1)/2))))),2)))</f>
        <v/>
      </c>
      <c r="E35" s="30">
        <f>IF(A35="","",ROUND(E34+D35,2))</f>
        <v/>
      </c>
      <c r="F35" s="30">
        <f>IF(A35="","",ROUND(C35-D35,2))</f>
        <v/>
      </c>
    </row>
    <row r="36">
      <c r="A36" s="29">
        <f>IF(25&gt;$B$6,"",25)</f>
        <v/>
      </c>
      <c r="B36" s="29">
        <f>IF(A36="","",$B$9+A36-1)</f>
        <v/>
      </c>
      <c r="C36" s="30">
        <f>IF(A36="","",F35)</f>
        <v/>
      </c>
      <c r="D36" s="30">
        <f>IF(A36="","",IF(AND(A36=$B$6,$B$7&lt;&gt;"Reducing balance"),C36-$B$5,ROUND(MAX(0,IF($B$7="Straight-line",($B$4-$B$5)/$B$6,IF($B$7="Reducing balance",MIN(C36*$B$8,C36-$B$5),IF($B$7="DDB",MIN(MAX(C36*MIN(1,2/$B$6),(C36-$B$5)/($B$6-A36+1)),C36-$B$5),($B$4-$B$5)*($B$6-A36+1)/($B$6*($B$6+1)/2))))),2)))</f>
        <v/>
      </c>
      <c r="E36" s="30">
        <f>IF(A36="","",ROUND(E35+D36,2))</f>
        <v/>
      </c>
      <c r="F36" s="30">
        <f>IF(A36="","",ROUND(C36-D36,2))</f>
        <v/>
      </c>
    </row>
    <row r="37">
      <c r="A37" s="29">
        <f>IF(26&gt;$B$6,"",26)</f>
        <v/>
      </c>
      <c r="B37" s="29">
        <f>IF(A37="","",$B$9+A37-1)</f>
        <v/>
      </c>
      <c r="C37" s="30">
        <f>IF(A37="","",F36)</f>
        <v/>
      </c>
      <c r="D37" s="30">
        <f>IF(A37="","",IF(AND(A37=$B$6,$B$7&lt;&gt;"Reducing balance"),C37-$B$5,ROUND(MAX(0,IF($B$7="Straight-line",($B$4-$B$5)/$B$6,IF($B$7="Reducing balance",MIN(C37*$B$8,C37-$B$5),IF($B$7="DDB",MIN(MAX(C37*MIN(1,2/$B$6),(C37-$B$5)/($B$6-A37+1)),C37-$B$5),($B$4-$B$5)*($B$6-A37+1)/($B$6*($B$6+1)/2))))),2)))</f>
        <v/>
      </c>
      <c r="E37" s="30">
        <f>IF(A37="","",ROUND(E36+D37,2))</f>
        <v/>
      </c>
      <c r="F37" s="30">
        <f>IF(A37="","",ROUND(C37-D37,2))</f>
        <v/>
      </c>
    </row>
    <row r="38">
      <c r="A38" s="29">
        <f>IF(27&gt;$B$6,"",27)</f>
        <v/>
      </c>
      <c r="B38" s="29">
        <f>IF(A38="","",$B$9+A38-1)</f>
        <v/>
      </c>
      <c r="C38" s="30">
        <f>IF(A38="","",F37)</f>
        <v/>
      </c>
      <c r="D38" s="30">
        <f>IF(A38="","",IF(AND(A38=$B$6,$B$7&lt;&gt;"Reducing balance"),C38-$B$5,ROUND(MAX(0,IF($B$7="Straight-line",($B$4-$B$5)/$B$6,IF($B$7="Reducing balance",MIN(C38*$B$8,C38-$B$5),IF($B$7="DDB",MIN(MAX(C38*MIN(1,2/$B$6),(C38-$B$5)/($B$6-A38+1)),C38-$B$5),($B$4-$B$5)*($B$6-A38+1)/($B$6*($B$6+1)/2))))),2)))</f>
        <v/>
      </c>
      <c r="E38" s="30">
        <f>IF(A38="","",ROUND(E37+D38,2))</f>
        <v/>
      </c>
      <c r="F38" s="30">
        <f>IF(A38="","",ROUND(C38-D38,2))</f>
        <v/>
      </c>
    </row>
    <row r="39">
      <c r="A39" s="29">
        <f>IF(28&gt;$B$6,"",28)</f>
        <v/>
      </c>
      <c r="B39" s="29">
        <f>IF(A39="","",$B$9+A39-1)</f>
        <v/>
      </c>
      <c r="C39" s="30">
        <f>IF(A39="","",F38)</f>
        <v/>
      </c>
      <c r="D39" s="30">
        <f>IF(A39="","",IF(AND(A39=$B$6,$B$7&lt;&gt;"Reducing balance"),C39-$B$5,ROUND(MAX(0,IF($B$7="Straight-line",($B$4-$B$5)/$B$6,IF($B$7="Reducing balance",MIN(C39*$B$8,C39-$B$5),IF($B$7="DDB",MIN(MAX(C39*MIN(1,2/$B$6),(C39-$B$5)/($B$6-A39+1)),C39-$B$5),($B$4-$B$5)*($B$6-A39+1)/($B$6*($B$6+1)/2))))),2)))</f>
        <v/>
      </c>
      <c r="E39" s="30">
        <f>IF(A39="","",ROUND(E38+D39,2))</f>
        <v/>
      </c>
      <c r="F39" s="30">
        <f>IF(A39="","",ROUND(C39-D39,2))</f>
        <v/>
      </c>
    </row>
    <row r="40">
      <c r="A40" s="29">
        <f>IF(29&gt;$B$6,"",29)</f>
        <v/>
      </c>
      <c r="B40" s="29">
        <f>IF(A40="","",$B$9+A40-1)</f>
        <v/>
      </c>
      <c r="C40" s="30">
        <f>IF(A40="","",F39)</f>
        <v/>
      </c>
      <c r="D40" s="30">
        <f>IF(A40="","",IF(AND(A40=$B$6,$B$7&lt;&gt;"Reducing balance"),C40-$B$5,ROUND(MAX(0,IF($B$7="Straight-line",($B$4-$B$5)/$B$6,IF($B$7="Reducing balance",MIN(C40*$B$8,C40-$B$5),IF($B$7="DDB",MIN(MAX(C40*MIN(1,2/$B$6),(C40-$B$5)/($B$6-A40+1)),C40-$B$5),($B$4-$B$5)*($B$6-A40+1)/($B$6*($B$6+1)/2))))),2)))</f>
        <v/>
      </c>
      <c r="E40" s="30">
        <f>IF(A40="","",ROUND(E39+D40,2))</f>
        <v/>
      </c>
      <c r="F40" s="30">
        <f>IF(A40="","",ROUND(C40-D40,2))</f>
        <v/>
      </c>
    </row>
    <row r="41">
      <c r="A41" s="29">
        <f>IF(30&gt;$B$6,"",30)</f>
        <v/>
      </c>
      <c r="B41" s="29">
        <f>IF(A41="","",$B$9+A41-1)</f>
        <v/>
      </c>
      <c r="C41" s="30">
        <f>IF(A41="","",F40)</f>
        <v/>
      </c>
      <c r="D41" s="30">
        <f>IF(A41="","",IF(AND(A41=$B$6,$B$7&lt;&gt;"Reducing balance"),C41-$B$5,ROUND(MAX(0,IF($B$7="Straight-line",($B$4-$B$5)/$B$6,IF($B$7="Reducing balance",MIN(C41*$B$8,C41-$B$5),IF($B$7="DDB",MIN(MAX(C41*MIN(1,2/$B$6),(C41-$B$5)/($B$6-A41+1)),C41-$B$5),($B$4-$B$5)*($B$6-A41+1)/($B$6*($B$6+1)/2))))),2)))</f>
        <v/>
      </c>
      <c r="E41" s="30">
        <f>IF(A41="","",ROUND(E40+D41,2))</f>
        <v/>
      </c>
      <c r="F41" s="30">
        <f>IF(A41="","",ROUND(C41-D41,2))</f>
        <v/>
      </c>
    </row>
    <row r="42">
      <c r="A42" s="29">
        <f>IF(31&gt;$B$6,"",31)</f>
        <v/>
      </c>
      <c r="B42" s="29">
        <f>IF(A42="","",$B$9+A42-1)</f>
        <v/>
      </c>
      <c r="C42" s="30">
        <f>IF(A42="","",F41)</f>
        <v/>
      </c>
      <c r="D42" s="30">
        <f>IF(A42="","",IF(AND(A42=$B$6,$B$7&lt;&gt;"Reducing balance"),C42-$B$5,ROUND(MAX(0,IF($B$7="Straight-line",($B$4-$B$5)/$B$6,IF($B$7="Reducing balance",MIN(C42*$B$8,C42-$B$5),IF($B$7="DDB",MIN(MAX(C42*MIN(1,2/$B$6),(C42-$B$5)/($B$6-A42+1)),C42-$B$5),($B$4-$B$5)*($B$6-A42+1)/($B$6*($B$6+1)/2))))),2)))</f>
        <v/>
      </c>
      <c r="E42" s="30">
        <f>IF(A42="","",ROUND(E41+D42,2))</f>
        <v/>
      </c>
      <c r="F42" s="30">
        <f>IF(A42="","",ROUND(C42-D42,2))</f>
        <v/>
      </c>
    </row>
    <row r="43">
      <c r="A43" s="29">
        <f>IF(32&gt;$B$6,"",32)</f>
        <v/>
      </c>
      <c r="B43" s="29">
        <f>IF(A43="","",$B$9+A43-1)</f>
        <v/>
      </c>
      <c r="C43" s="30">
        <f>IF(A43="","",F42)</f>
        <v/>
      </c>
      <c r="D43" s="30">
        <f>IF(A43="","",IF(AND(A43=$B$6,$B$7&lt;&gt;"Reducing balance"),C43-$B$5,ROUND(MAX(0,IF($B$7="Straight-line",($B$4-$B$5)/$B$6,IF($B$7="Reducing balance",MIN(C43*$B$8,C43-$B$5),IF($B$7="DDB",MIN(MAX(C43*MIN(1,2/$B$6),(C43-$B$5)/($B$6-A43+1)),C43-$B$5),($B$4-$B$5)*($B$6-A43+1)/($B$6*($B$6+1)/2))))),2)))</f>
        <v/>
      </c>
      <c r="E43" s="30">
        <f>IF(A43="","",ROUND(E42+D43,2))</f>
        <v/>
      </c>
      <c r="F43" s="30">
        <f>IF(A43="","",ROUND(C43-D43,2))</f>
        <v/>
      </c>
    </row>
    <row r="44">
      <c r="A44" s="29">
        <f>IF(33&gt;$B$6,"",33)</f>
        <v/>
      </c>
      <c r="B44" s="29">
        <f>IF(A44="","",$B$9+A44-1)</f>
        <v/>
      </c>
      <c r="C44" s="30">
        <f>IF(A44="","",F43)</f>
        <v/>
      </c>
      <c r="D44" s="30">
        <f>IF(A44="","",IF(AND(A44=$B$6,$B$7&lt;&gt;"Reducing balance"),C44-$B$5,ROUND(MAX(0,IF($B$7="Straight-line",($B$4-$B$5)/$B$6,IF($B$7="Reducing balance",MIN(C44*$B$8,C44-$B$5),IF($B$7="DDB",MIN(MAX(C44*MIN(1,2/$B$6),(C44-$B$5)/($B$6-A44+1)),C44-$B$5),($B$4-$B$5)*($B$6-A44+1)/($B$6*($B$6+1)/2))))),2)))</f>
        <v/>
      </c>
      <c r="E44" s="30">
        <f>IF(A44="","",ROUND(E43+D44,2))</f>
        <v/>
      </c>
      <c r="F44" s="30">
        <f>IF(A44="","",ROUND(C44-D44,2))</f>
        <v/>
      </c>
    </row>
    <row r="45">
      <c r="A45" s="29">
        <f>IF(34&gt;$B$6,"",34)</f>
        <v/>
      </c>
      <c r="B45" s="29">
        <f>IF(A45="","",$B$9+A45-1)</f>
        <v/>
      </c>
      <c r="C45" s="30">
        <f>IF(A45="","",F44)</f>
        <v/>
      </c>
      <c r="D45" s="30">
        <f>IF(A45="","",IF(AND(A45=$B$6,$B$7&lt;&gt;"Reducing balance"),C45-$B$5,ROUND(MAX(0,IF($B$7="Straight-line",($B$4-$B$5)/$B$6,IF($B$7="Reducing balance",MIN(C45*$B$8,C45-$B$5),IF($B$7="DDB",MIN(MAX(C45*MIN(1,2/$B$6),(C45-$B$5)/($B$6-A45+1)),C45-$B$5),($B$4-$B$5)*($B$6-A45+1)/($B$6*($B$6+1)/2))))),2)))</f>
        <v/>
      </c>
      <c r="E45" s="30">
        <f>IF(A45="","",ROUND(E44+D45,2))</f>
        <v/>
      </c>
      <c r="F45" s="30">
        <f>IF(A45="","",ROUND(C45-D45,2))</f>
        <v/>
      </c>
    </row>
    <row r="46">
      <c r="A46" s="29">
        <f>IF(35&gt;$B$6,"",35)</f>
        <v/>
      </c>
      <c r="B46" s="29">
        <f>IF(A46="","",$B$9+A46-1)</f>
        <v/>
      </c>
      <c r="C46" s="30">
        <f>IF(A46="","",F45)</f>
        <v/>
      </c>
      <c r="D46" s="30">
        <f>IF(A46="","",IF(AND(A46=$B$6,$B$7&lt;&gt;"Reducing balance"),C46-$B$5,ROUND(MAX(0,IF($B$7="Straight-line",($B$4-$B$5)/$B$6,IF($B$7="Reducing balance",MIN(C46*$B$8,C46-$B$5),IF($B$7="DDB",MIN(MAX(C46*MIN(1,2/$B$6),(C46-$B$5)/($B$6-A46+1)),C46-$B$5),($B$4-$B$5)*($B$6-A46+1)/($B$6*($B$6+1)/2))))),2)))</f>
        <v/>
      </c>
      <c r="E46" s="30">
        <f>IF(A46="","",ROUND(E45+D46,2))</f>
        <v/>
      </c>
      <c r="F46" s="30">
        <f>IF(A46="","",ROUND(C46-D46,2))</f>
        <v/>
      </c>
    </row>
    <row r="47">
      <c r="A47" s="29">
        <f>IF(36&gt;$B$6,"",36)</f>
        <v/>
      </c>
      <c r="B47" s="29">
        <f>IF(A47="","",$B$9+A47-1)</f>
        <v/>
      </c>
      <c r="C47" s="30">
        <f>IF(A47="","",F46)</f>
        <v/>
      </c>
      <c r="D47" s="30">
        <f>IF(A47="","",IF(AND(A47=$B$6,$B$7&lt;&gt;"Reducing balance"),C47-$B$5,ROUND(MAX(0,IF($B$7="Straight-line",($B$4-$B$5)/$B$6,IF($B$7="Reducing balance",MIN(C47*$B$8,C47-$B$5),IF($B$7="DDB",MIN(MAX(C47*MIN(1,2/$B$6),(C47-$B$5)/($B$6-A47+1)),C47-$B$5),($B$4-$B$5)*($B$6-A47+1)/($B$6*($B$6+1)/2))))),2)))</f>
        <v/>
      </c>
      <c r="E47" s="30">
        <f>IF(A47="","",ROUND(E46+D47,2))</f>
        <v/>
      </c>
      <c r="F47" s="30">
        <f>IF(A47="","",ROUND(C47-D47,2))</f>
        <v/>
      </c>
    </row>
    <row r="48">
      <c r="A48" s="29">
        <f>IF(37&gt;$B$6,"",37)</f>
        <v/>
      </c>
      <c r="B48" s="29">
        <f>IF(A48="","",$B$9+A48-1)</f>
        <v/>
      </c>
      <c r="C48" s="30">
        <f>IF(A48="","",F47)</f>
        <v/>
      </c>
      <c r="D48" s="30">
        <f>IF(A48="","",IF(AND(A48=$B$6,$B$7&lt;&gt;"Reducing balance"),C48-$B$5,ROUND(MAX(0,IF($B$7="Straight-line",($B$4-$B$5)/$B$6,IF($B$7="Reducing balance",MIN(C48*$B$8,C48-$B$5),IF($B$7="DDB",MIN(MAX(C48*MIN(1,2/$B$6),(C48-$B$5)/($B$6-A48+1)),C48-$B$5),($B$4-$B$5)*($B$6-A48+1)/($B$6*($B$6+1)/2))))),2)))</f>
        <v/>
      </c>
      <c r="E48" s="30">
        <f>IF(A48="","",ROUND(E47+D48,2))</f>
        <v/>
      </c>
      <c r="F48" s="30">
        <f>IF(A48="","",ROUND(C48-D48,2))</f>
        <v/>
      </c>
    </row>
    <row r="49">
      <c r="A49" s="29">
        <f>IF(38&gt;$B$6,"",38)</f>
        <v/>
      </c>
      <c r="B49" s="29">
        <f>IF(A49="","",$B$9+A49-1)</f>
        <v/>
      </c>
      <c r="C49" s="30">
        <f>IF(A49="","",F48)</f>
        <v/>
      </c>
      <c r="D49" s="30">
        <f>IF(A49="","",IF(AND(A49=$B$6,$B$7&lt;&gt;"Reducing balance"),C49-$B$5,ROUND(MAX(0,IF($B$7="Straight-line",($B$4-$B$5)/$B$6,IF($B$7="Reducing balance",MIN(C49*$B$8,C49-$B$5),IF($B$7="DDB",MIN(MAX(C49*MIN(1,2/$B$6),(C49-$B$5)/($B$6-A49+1)),C49-$B$5),($B$4-$B$5)*($B$6-A49+1)/($B$6*($B$6+1)/2))))),2)))</f>
        <v/>
      </c>
      <c r="E49" s="30">
        <f>IF(A49="","",ROUND(E48+D49,2))</f>
        <v/>
      </c>
      <c r="F49" s="30">
        <f>IF(A49="","",ROUND(C49-D49,2))</f>
        <v/>
      </c>
    </row>
    <row r="50">
      <c r="A50" s="29">
        <f>IF(39&gt;$B$6,"",39)</f>
        <v/>
      </c>
      <c r="B50" s="29">
        <f>IF(A50="","",$B$9+A50-1)</f>
        <v/>
      </c>
      <c r="C50" s="30">
        <f>IF(A50="","",F49)</f>
        <v/>
      </c>
      <c r="D50" s="30">
        <f>IF(A50="","",IF(AND(A50=$B$6,$B$7&lt;&gt;"Reducing balance"),C50-$B$5,ROUND(MAX(0,IF($B$7="Straight-line",($B$4-$B$5)/$B$6,IF($B$7="Reducing balance",MIN(C50*$B$8,C50-$B$5),IF($B$7="DDB",MIN(MAX(C50*MIN(1,2/$B$6),(C50-$B$5)/($B$6-A50+1)),C50-$B$5),($B$4-$B$5)*($B$6-A50+1)/($B$6*($B$6+1)/2))))),2)))</f>
        <v/>
      </c>
      <c r="E50" s="30">
        <f>IF(A50="","",ROUND(E49+D50,2))</f>
        <v/>
      </c>
      <c r="F50" s="30">
        <f>IF(A50="","",ROUND(C50-D50,2))</f>
        <v/>
      </c>
    </row>
    <row r="51">
      <c r="A51" s="29">
        <f>IF(40&gt;$B$6,"",40)</f>
        <v/>
      </c>
      <c r="B51" s="29">
        <f>IF(A51="","",$B$9+A51-1)</f>
        <v/>
      </c>
      <c r="C51" s="30">
        <f>IF(A51="","",F50)</f>
        <v/>
      </c>
      <c r="D51" s="30">
        <f>IF(A51="","",IF(AND(A51=$B$6,$B$7&lt;&gt;"Reducing balance"),C51-$B$5,ROUND(MAX(0,IF($B$7="Straight-line",($B$4-$B$5)/$B$6,IF($B$7="Reducing balance",MIN(C51*$B$8,C51-$B$5),IF($B$7="DDB",MIN(MAX(C51*MIN(1,2/$B$6),(C51-$B$5)/($B$6-A51+1)),C51-$B$5),($B$4-$B$5)*($B$6-A51+1)/($B$6*($B$6+1)/2))))),2)))</f>
        <v/>
      </c>
      <c r="E51" s="30">
        <f>IF(A51="","",ROUND(E50+D51,2))</f>
        <v/>
      </c>
      <c r="F51" s="30">
        <f>IF(A51="","",ROUND(C51-D51,2))</f>
        <v/>
      </c>
    </row>
    <row r="52">
      <c r="A52" s="29">
        <f>IF(41&gt;$B$6,"",41)</f>
        <v/>
      </c>
      <c r="B52" s="29">
        <f>IF(A52="","",$B$9+A52-1)</f>
        <v/>
      </c>
      <c r="C52" s="30">
        <f>IF(A52="","",F51)</f>
        <v/>
      </c>
      <c r="D52" s="30">
        <f>IF(A52="","",IF(AND(A52=$B$6,$B$7&lt;&gt;"Reducing balance"),C52-$B$5,ROUND(MAX(0,IF($B$7="Straight-line",($B$4-$B$5)/$B$6,IF($B$7="Reducing balance",MIN(C52*$B$8,C52-$B$5),IF($B$7="DDB",MIN(MAX(C52*MIN(1,2/$B$6),(C52-$B$5)/($B$6-A52+1)),C52-$B$5),($B$4-$B$5)*($B$6-A52+1)/($B$6*($B$6+1)/2))))),2)))</f>
        <v/>
      </c>
      <c r="E52" s="30">
        <f>IF(A52="","",ROUND(E51+D52,2))</f>
        <v/>
      </c>
      <c r="F52" s="30">
        <f>IF(A52="","",ROUND(C52-D52,2))</f>
        <v/>
      </c>
    </row>
    <row r="53">
      <c r="A53" s="29">
        <f>IF(42&gt;$B$6,"",42)</f>
        <v/>
      </c>
      <c r="B53" s="29">
        <f>IF(A53="","",$B$9+A53-1)</f>
        <v/>
      </c>
      <c r="C53" s="30">
        <f>IF(A53="","",F52)</f>
        <v/>
      </c>
      <c r="D53" s="30">
        <f>IF(A53="","",IF(AND(A53=$B$6,$B$7&lt;&gt;"Reducing balance"),C53-$B$5,ROUND(MAX(0,IF($B$7="Straight-line",($B$4-$B$5)/$B$6,IF($B$7="Reducing balance",MIN(C53*$B$8,C53-$B$5),IF($B$7="DDB",MIN(MAX(C53*MIN(1,2/$B$6),(C53-$B$5)/($B$6-A53+1)),C53-$B$5),($B$4-$B$5)*($B$6-A53+1)/($B$6*($B$6+1)/2))))),2)))</f>
        <v/>
      </c>
      <c r="E53" s="30">
        <f>IF(A53="","",ROUND(E52+D53,2))</f>
        <v/>
      </c>
      <c r="F53" s="30">
        <f>IF(A53="","",ROUND(C53-D53,2))</f>
        <v/>
      </c>
    </row>
    <row r="54">
      <c r="A54" s="29">
        <f>IF(43&gt;$B$6,"",43)</f>
        <v/>
      </c>
      <c r="B54" s="29">
        <f>IF(A54="","",$B$9+A54-1)</f>
        <v/>
      </c>
      <c r="C54" s="30">
        <f>IF(A54="","",F53)</f>
        <v/>
      </c>
      <c r="D54" s="30">
        <f>IF(A54="","",IF(AND(A54=$B$6,$B$7&lt;&gt;"Reducing balance"),C54-$B$5,ROUND(MAX(0,IF($B$7="Straight-line",($B$4-$B$5)/$B$6,IF($B$7="Reducing balance",MIN(C54*$B$8,C54-$B$5),IF($B$7="DDB",MIN(MAX(C54*MIN(1,2/$B$6),(C54-$B$5)/($B$6-A54+1)),C54-$B$5),($B$4-$B$5)*($B$6-A54+1)/($B$6*($B$6+1)/2))))),2)))</f>
        <v/>
      </c>
      <c r="E54" s="30">
        <f>IF(A54="","",ROUND(E53+D54,2))</f>
        <v/>
      </c>
      <c r="F54" s="30">
        <f>IF(A54="","",ROUND(C54-D54,2))</f>
        <v/>
      </c>
    </row>
    <row r="55">
      <c r="A55" s="29">
        <f>IF(44&gt;$B$6,"",44)</f>
        <v/>
      </c>
      <c r="B55" s="29">
        <f>IF(A55="","",$B$9+A55-1)</f>
        <v/>
      </c>
      <c r="C55" s="30">
        <f>IF(A55="","",F54)</f>
        <v/>
      </c>
      <c r="D55" s="30">
        <f>IF(A55="","",IF(AND(A55=$B$6,$B$7&lt;&gt;"Reducing balance"),C55-$B$5,ROUND(MAX(0,IF($B$7="Straight-line",($B$4-$B$5)/$B$6,IF($B$7="Reducing balance",MIN(C55*$B$8,C55-$B$5),IF($B$7="DDB",MIN(MAX(C55*MIN(1,2/$B$6),(C55-$B$5)/($B$6-A55+1)),C55-$B$5),($B$4-$B$5)*($B$6-A55+1)/($B$6*($B$6+1)/2))))),2)))</f>
        <v/>
      </c>
      <c r="E55" s="30">
        <f>IF(A55="","",ROUND(E54+D55,2))</f>
        <v/>
      </c>
      <c r="F55" s="30">
        <f>IF(A55="","",ROUND(C55-D55,2))</f>
        <v/>
      </c>
    </row>
    <row r="56">
      <c r="A56" s="29">
        <f>IF(45&gt;$B$6,"",45)</f>
        <v/>
      </c>
      <c r="B56" s="29">
        <f>IF(A56="","",$B$9+A56-1)</f>
        <v/>
      </c>
      <c r="C56" s="30">
        <f>IF(A56="","",F55)</f>
        <v/>
      </c>
      <c r="D56" s="30">
        <f>IF(A56="","",IF(AND(A56=$B$6,$B$7&lt;&gt;"Reducing balance"),C56-$B$5,ROUND(MAX(0,IF($B$7="Straight-line",($B$4-$B$5)/$B$6,IF($B$7="Reducing balance",MIN(C56*$B$8,C56-$B$5),IF($B$7="DDB",MIN(MAX(C56*MIN(1,2/$B$6),(C56-$B$5)/($B$6-A56+1)),C56-$B$5),($B$4-$B$5)*($B$6-A56+1)/($B$6*($B$6+1)/2))))),2)))</f>
        <v/>
      </c>
      <c r="E56" s="30">
        <f>IF(A56="","",ROUND(E55+D56,2))</f>
        <v/>
      </c>
      <c r="F56" s="30">
        <f>IF(A56="","",ROUND(C56-D56,2))</f>
        <v/>
      </c>
    </row>
    <row r="57">
      <c r="A57" s="29">
        <f>IF(46&gt;$B$6,"",46)</f>
        <v/>
      </c>
      <c r="B57" s="29">
        <f>IF(A57="","",$B$9+A57-1)</f>
        <v/>
      </c>
      <c r="C57" s="30">
        <f>IF(A57="","",F56)</f>
        <v/>
      </c>
      <c r="D57" s="30">
        <f>IF(A57="","",IF(AND(A57=$B$6,$B$7&lt;&gt;"Reducing balance"),C57-$B$5,ROUND(MAX(0,IF($B$7="Straight-line",($B$4-$B$5)/$B$6,IF($B$7="Reducing balance",MIN(C57*$B$8,C57-$B$5),IF($B$7="DDB",MIN(MAX(C57*MIN(1,2/$B$6),(C57-$B$5)/($B$6-A57+1)),C57-$B$5),($B$4-$B$5)*($B$6-A57+1)/($B$6*($B$6+1)/2))))),2)))</f>
        <v/>
      </c>
      <c r="E57" s="30">
        <f>IF(A57="","",ROUND(E56+D57,2))</f>
        <v/>
      </c>
      <c r="F57" s="30">
        <f>IF(A57="","",ROUND(C57-D57,2))</f>
        <v/>
      </c>
    </row>
    <row r="58">
      <c r="A58" s="29">
        <f>IF(47&gt;$B$6,"",47)</f>
        <v/>
      </c>
      <c r="B58" s="29">
        <f>IF(A58="","",$B$9+A58-1)</f>
        <v/>
      </c>
      <c r="C58" s="30">
        <f>IF(A58="","",F57)</f>
        <v/>
      </c>
      <c r="D58" s="30">
        <f>IF(A58="","",IF(AND(A58=$B$6,$B$7&lt;&gt;"Reducing balance"),C58-$B$5,ROUND(MAX(0,IF($B$7="Straight-line",($B$4-$B$5)/$B$6,IF($B$7="Reducing balance",MIN(C58*$B$8,C58-$B$5),IF($B$7="DDB",MIN(MAX(C58*MIN(1,2/$B$6),(C58-$B$5)/($B$6-A58+1)),C58-$B$5),($B$4-$B$5)*($B$6-A58+1)/($B$6*($B$6+1)/2))))),2)))</f>
        <v/>
      </c>
      <c r="E58" s="30">
        <f>IF(A58="","",ROUND(E57+D58,2))</f>
        <v/>
      </c>
      <c r="F58" s="30">
        <f>IF(A58="","",ROUND(C58-D58,2))</f>
        <v/>
      </c>
    </row>
    <row r="59">
      <c r="A59" s="29">
        <f>IF(48&gt;$B$6,"",48)</f>
        <v/>
      </c>
      <c r="B59" s="29">
        <f>IF(A59="","",$B$9+A59-1)</f>
        <v/>
      </c>
      <c r="C59" s="30">
        <f>IF(A59="","",F58)</f>
        <v/>
      </c>
      <c r="D59" s="30">
        <f>IF(A59="","",IF(AND(A59=$B$6,$B$7&lt;&gt;"Reducing balance"),C59-$B$5,ROUND(MAX(0,IF($B$7="Straight-line",($B$4-$B$5)/$B$6,IF($B$7="Reducing balance",MIN(C59*$B$8,C59-$B$5),IF($B$7="DDB",MIN(MAX(C59*MIN(1,2/$B$6),(C59-$B$5)/($B$6-A59+1)),C59-$B$5),($B$4-$B$5)*($B$6-A59+1)/($B$6*($B$6+1)/2))))),2)))</f>
        <v/>
      </c>
      <c r="E59" s="30">
        <f>IF(A59="","",ROUND(E58+D59,2))</f>
        <v/>
      </c>
      <c r="F59" s="30">
        <f>IF(A59="","",ROUND(C59-D59,2))</f>
        <v/>
      </c>
    </row>
    <row r="60">
      <c r="A60" s="29">
        <f>IF(49&gt;$B$6,"",49)</f>
        <v/>
      </c>
      <c r="B60" s="29">
        <f>IF(A60="","",$B$9+A60-1)</f>
        <v/>
      </c>
      <c r="C60" s="30">
        <f>IF(A60="","",F59)</f>
        <v/>
      </c>
      <c r="D60" s="30">
        <f>IF(A60="","",IF(AND(A60=$B$6,$B$7&lt;&gt;"Reducing balance"),C60-$B$5,ROUND(MAX(0,IF($B$7="Straight-line",($B$4-$B$5)/$B$6,IF($B$7="Reducing balance",MIN(C60*$B$8,C60-$B$5),IF($B$7="DDB",MIN(MAX(C60*MIN(1,2/$B$6),(C60-$B$5)/($B$6-A60+1)),C60-$B$5),($B$4-$B$5)*($B$6-A60+1)/($B$6*($B$6+1)/2))))),2)))</f>
        <v/>
      </c>
      <c r="E60" s="30">
        <f>IF(A60="","",ROUND(E59+D60,2))</f>
        <v/>
      </c>
      <c r="F60" s="30">
        <f>IF(A60="","",ROUND(C60-D60,2))</f>
        <v/>
      </c>
    </row>
    <row r="61">
      <c r="A61" s="29">
        <f>IF(50&gt;$B$6,"",50)</f>
        <v/>
      </c>
      <c r="B61" s="29">
        <f>IF(A61="","",$B$9+A61-1)</f>
        <v/>
      </c>
      <c r="C61" s="30">
        <f>IF(A61="","",F60)</f>
        <v/>
      </c>
      <c r="D61" s="30">
        <f>IF(A61="","",IF(AND(A61=$B$6,$B$7&lt;&gt;"Reducing balance"),C61-$B$5,ROUND(MAX(0,IF($B$7="Straight-line",($B$4-$B$5)/$B$6,IF($B$7="Reducing balance",MIN(C61*$B$8,C61-$B$5),IF($B$7="DDB",MIN(MAX(C61*MIN(1,2/$B$6),(C61-$B$5)/($B$6-A61+1)),C61-$B$5),($B$4-$B$5)*($B$6-A61+1)/($B$6*($B$6+1)/2))))),2)))</f>
        <v/>
      </c>
      <c r="E61" s="30">
        <f>IF(A61="","",ROUND(E60+D61,2))</f>
        <v/>
      </c>
      <c r="F61" s="30">
        <f>IF(A61="","",ROUND(C61-D61,2))</f>
        <v/>
      </c>
    </row>
    <row r="63" ht="30" customHeight="1">
      <c r="A63" s="2" t="inlineStr">
        <is>
          <t>DDB switches to straight-line in the year that gives the larger charge, so the asset reaches its residual value at the end of its life. Reducing balance (WDV) keeps applying the rate, so some book value above residual can remain at the end — that is how WDV works.</t>
        </is>
      </c>
    </row>
    <row r="64"/>
    <row r="66">
      <c r="A66" s="8" t="inlineStr">
        <is>
          <t>Track this automatically with Asetavo — asetavo.com/free-asset-tracking-software</t>
        </is>
      </c>
    </row>
  </sheetData>
  <mergeCells count="1">
    <mergeCell ref="A63:F64"/>
  </mergeCells>
  <dataValidations count="1">
    <dataValidation sqref="B7" showDropDown="0" showInputMessage="0" showErrorMessage="0" allowBlank="0" type="list" errorStyle="stop">
      <formula1>"Straight-line,Reducing balance,DDB,SYD"</formula1>
    </dataValidation>
  </dataValidations>
  <hyperlinks>
    <hyperlink xmlns:r="http://schemas.openxmlformats.org/officeDocument/2006/relationships" ref="A66" r:id="rId1"/>
  </hyperlinks>
  <pageMargins left="0.75" right="0.7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28" customWidth="1" min="1" max="1"/>
    <col width="18" customWidth="1" min="2" max="2"/>
    <col width="18" customWidth="1" min="3" max="3"/>
    <col width="18" customWidth="1" min="4" max="4"/>
    <col width="18" customWidth="1" min="5" max="5"/>
    <col width="18" customWidth="1" min="6" max="6"/>
  </cols>
  <sheetData>
    <row r="1">
      <c r="A1" s="1" t="inlineStr">
        <is>
          <t>Summary — assets still held</t>
        </is>
      </c>
    </row>
    <row r="2">
      <c r="A2" s="9">
        <f>CONCATENATE("Depreciation to ",TEXT(Settings!B3,"yyyy-mm-dd"),". Excludes rows with Status Disposed or Written off.")</f>
        <v/>
      </c>
    </row>
    <row r="4">
      <c r="A4" s="14" t="inlineStr">
        <is>
          <t>Category</t>
        </is>
      </c>
      <c r="B4" s="14" t="inlineStr">
        <is>
          <t>Assets</t>
        </is>
      </c>
      <c r="C4" s="14" t="inlineStr">
        <is>
          <t>Cost</t>
        </is>
      </c>
      <c r="D4" s="14" t="inlineStr">
        <is>
          <t>Accumulated depreciation</t>
        </is>
      </c>
      <c r="E4" s="14" t="inlineStr">
        <is>
          <t>Net book value</t>
        </is>
      </c>
      <c r="F4" s="14" t="inlineStr">
        <is>
          <t>Depreciation this year</t>
        </is>
      </c>
    </row>
    <row r="5">
      <c r="A5" s="29">
        <f>Lists!A2</f>
        <v/>
      </c>
      <c r="B5" s="29">
        <f>COUNTIFS('Asset register'!$D$2:$D$501,A5,'Asset register'!$AA$2:$AA$501,"&lt;&gt;Disposed",'Asset register'!$AA$2:$AA$501,"&lt;&gt;Written off")</f>
        <v/>
      </c>
      <c r="C5" s="30">
        <f>SUMIFS('Asset register'!$S$2:$S$501,'Asset register'!$D$2:$D$501,A5,'Asset register'!$AA$2:$AA$501,"&lt;&gt;Disposed",'Asset register'!$AA$2:$AA$501,"&lt;&gt;Written off")</f>
        <v/>
      </c>
      <c r="D5" s="30">
        <f>SUMIFS('Asset register'!$X$2:$X$501,'Asset register'!$D$2:$D$501,A5,'Asset register'!$AA$2:$AA$501,"&lt;&gt;Disposed",'Asset register'!$AA$2:$AA$501,"&lt;&gt;Written off")</f>
        <v/>
      </c>
      <c r="E5" s="30">
        <f>SUMIFS('Asset register'!$Y$2:$Y$501,'Asset register'!$D$2:$D$501,A5,'Asset register'!$AA$2:$AA$501,"&lt;&gt;Disposed",'Asset register'!$AA$2:$AA$501,"&lt;&gt;Written off")</f>
        <v/>
      </c>
      <c r="F5" s="30">
        <f>SUMIFS('Asset register'!$AM$2:$AM$501,'Asset register'!$D$2:$D$501,A5,'Asset register'!$AA$2:$AA$501,"&lt;&gt;Disposed",'Asset register'!$AA$2:$AA$501,"&lt;&gt;Written off")</f>
        <v/>
      </c>
    </row>
    <row r="6">
      <c r="A6" s="29">
        <f>Lists!A3</f>
        <v/>
      </c>
      <c r="B6" s="29">
        <f>COUNTIFS('Asset register'!$D$2:$D$501,A6,'Asset register'!$AA$2:$AA$501,"&lt;&gt;Disposed",'Asset register'!$AA$2:$AA$501,"&lt;&gt;Written off")</f>
        <v/>
      </c>
      <c r="C6" s="30">
        <f>SUMIFS('Asset register'!$S$2:$S$501,'Asset register'!$D$2:$D$501,A6,'Asset register'!$AA$2:$AA$501,"&lt;&gt;Disposed",'Asset register'!$AA$2:$AA$501,"&lt;&gt;Written off")</f>
        <v/>
      </c>
      <c r="D6" s="30">
        <f>SUMIFS('Asset register'!$X$2:$X$501,'Asset register'!$D$2:$D$501,A6,'Asset register'!$AA$2:$AA$501,"&lt;&gt;Disposed",'Asset register'!$AA$2:$AA$501,"&lt;&gt;Written off")</f>
        <v/>
      </c>
      <c r="E6" s="30">
        <f>SUMIFS('Asset register'!$Y$2:$Y$501,'Asset register'!$D$2:$D$501,A6,'Asset register'!$AA$2:$AA$501,"&lt;&gt;Disposed",'Asset register'!$AA$2:$AA$501,"&lt;&gt;Written off")</f>
        <v/>
      </c>
      <c r="F6" s="30">
        <f>SUMIFS('Asset register'!$AM$2:$AM$501,'Asset register'!$D$2:$D$501,A6,'Asset register'!$AA$2:$AA$501,"&lt;&gt;Disposed",'Asset register'!$AA$2:$AA$501,"&lt;&gt;Written off")</f>
        <v/>
      </c>
    </row>
    <row r="7">
      <c r="A7" s="29">
        <f>Lists!A4</f>
        <v/>
      </c>
      <c r="B7" s="29">
        <f>COUNTIFS('Asset register'!$D$2:$D$501,A7,'Asset register'!$AA$2:$AA$501,"&lt;&gt;Disposed",'Asset register'!$AA$2:$AA$501,"&lt;&gt;Written off")</f>
        <v/>
      </c>
      <c r="C7" s="30">
        <f>SUMIFS('Asset register'!$S$2:$S$501,'Asset register'!$D$2:$D$501,A7,'Asset register'!$AA$2:$AA$501,"&lt;&gt;Disposed",'Asset register'!$AA$2:$AA$501,"&lt;&gt;Written off")</f>
        <v/>
      </c>
      <c r="D7" s="30">
        <f>SUMIFS('Asset register'!$X$2:$X$501,'Asset register'!$D$2:$D$501,A7,'Asset register'!$AA$2:$AA$501,"&lt;&gt;Disposed",'Asset register'!$AA$2:$AA$501,"&lt;&gt;Written off")</f>
        <v/>
      </c>
      <c r="E7" s="30">
        <f>SUMIFS('Asset register'!$Y$2:$Y$501,'Asset register'!$D$2:$D$501,A7,'Asset register'!$AA$2:$AA$501,"&lt;&gt;Disposed",'Asset register'!$AA$2:$AA$501,"&lt;&gt;Written off")</f>
        <v/>
      </c>
      <c r="F7" s="30">
        <f>SUMIFS('Asset register'!$AM$2:$AM$501,'Asset register'!$D$2:$D$501,A7,'Asset register'!$AA$2:$AA$501,"&lt;&gt;Disposed",'Asset register'!$AA$2:$AA$501,"&lt;&gt;Written off")</f>
        <v/>
      </c>
    </row>
    <row r="8">
      <c r="A8" s="29">
        <f>Lists!A5</f>
        <v/>
      </c>
      <c r="B8" s="29">
        <f>COUNTIFS('Asset register'!$D$2:$D$501,A8,'Asset register'!$AA$2:$AA$501,"&lt;&gt;Disposed",'Asset register'!$AA$2:$AA$501,"&lt;&gt;Written off")</f>
        <v/>
      </c>
      <c r="C8" s="30">
        <f>SUMIFS('Asset register'!$S$2:$S$501,'Asset register'!$D$2:$D$501,A8,'Asset register'!$AA$2:$AA$501,"&lt;&gt;Disposed",'Asset register'!$AA$2:$AA$501,"&lt;&gt;Written off")</f>
        <v/>
      </c>
      <c r="D8" s="30">
        <f>SUMIFS('Asset register'!$X$2:$X$501,'Asset register'!$D$2:$D$501,A8,'Asset register'!$AA$2:$AA$501,"&lt;&gt;Disposed",'Asset register'!$AA$2:$AA$501,"&lt;&gt;Written off")</f>
        <v/>
      </c>
      <c r="E8" s="30">
        <f>SUMIFS('Asset register'!$Y$2:$Y$501,'Asset register'!$D$2:$D$501,A8,'Asset register'!$AA$2:$AA$501,"&lt;&gt;Disposed",'Asset register'!$AA$2:$AA$501,"&lt;&gt;Written off")</f>
        <v/>
      </c>
      <c r="F8" s="30">
        <f>SUMIFS('Asset register'!$AM$2:$AM$501,'Asset register'!$D$2:$D$501,A8,'Asset register'!$AA$2:$AA$501,"&lt;&gt;Disposed",'Asset register'!$AA$2:$AA$501,"&lt;&gt;Written off")</f>
        <v/>
      </c>
    </row>
    <row r="9">
      <c r="A9" s="29">
        <f>Lists!A6</f>
        <v/>
      </c>
      <c r="B9" s="29">
        <f>COUNTIFS('Asset register'!$D$2:$D$501,A9,'Asset register'!$AA$2:$AA$501,"&lt;&gt;Disposed",'Asset register'!$AA$2:$AA$501,"&lt;&gt;Written off")</f>
        <v/>
      </c>
      <c r="C9" s="30">
        <f>SUMIFS('Asset register'!$S$2:$S$501,'Asset register'!$D$2:$D$501,A9,'Asset register'!$AA$2:$AA$501,"&lt;&gt;Disposed",'Asset register'!$AA$2:$AA$501,"&lt;&gt;Written off")</f>
        <v/>
      </c>
      <c r="D9" s="30">
        <f>SUMIFS('Asset register'!$X$2:$X$501,'Asset register'!$D$2:$D$501,A9,'Asset register'!$AA$2:$AA$501,"&lt;&gt;Disposed",'Asset register'!$AA$2:$AA$501,"&lt;&gt;Written off")</f>
        <v/>
      </c>
      <c r="E9" s="30">
        <f>SUMIFS('Asset register'!$Y$2:$Y$501,'Asset register'!$D$2:$D$501,A9,'Asset register'!$AA$2:$AA$501,"&lt;&gt;Disposed",'Asset register'!$AA$2:$AA$501,"&lt;&gt;Written off")</f>
        <v/>
      </c>
      <c r="F9" s="30">
        <f>SUMIFS('Asset register'!$AM$2:$AM$501,'Asset register'!$D$2:$D$501,A9,'Asset register'!$AA$2:$AA$501,"&lt;&gt;Disposed",'Asset register'!$AA$2:$AA$501,"&lt;&gt;Written off")</f>
        <v/>
      </c>
    </row>
    <row r="10">
      <c r="A10" s="29">
        <f>Lists!A7</f>
        <v/>
      </c>
      <c r="B10" s="29">
        <f>COUNTIFS('Asset register'!$D$2:$D$501,A10,'Asset register'!$AA$2:$AA$501,"&lt;&gt;Disposed",'Asset register'!$AA$2:$AA$501,"&lt;&gt;Written off")</f>
        <v/>
      </c>
      <c r="C10" s="30">
        <f>SUMIFS('Asset register'!$S$2:$S$501,'Asset register'!$D$2:$D$501,A10,'Asset register'!$AA$2:$AA$501,"&lt;&gt;Disposed",'Asset register'!$AA$2:$AA$501,"&lt;&gt;Written off")</f>
        <v/>
      </c>
      <c r="D10" s="30">
        <f>SUMIFS('Asset register'!$X$2:$X$501,'Asset register'!$D$2:$D$501,A10,'Asset register'!$AA$2:$AA$501,"&lt;&gt;Disposed",'Asset register'!$AA$2:$AA$501,"&lt;&gt;Written off")</f>
        <v/>
      </c>
      <c r="E10" s="30">
        <f>SUMIFS('Asset register'!$Y$2:$Y$501,'Asset register'!$D$2:$D$501,A10,'Asset register'!$AA$2:$AA$501,"&lt;&gt;Disposed",'Asset register'!$AA$2:$AA$501,"&lt;&gt;Written off")</f>
        <v/>
      </c>
      <c r="F10" s="30">
        <f>SUMIFS('Asset register'!$AM$2:$AM$501,'Asset register'!$D$2:$D$501,A10,'Asset register'!$AA$2:$AA$501,"&lt;&gt;Disposed",'Asset register'!$AA$2:$AA$501,"&lt;&gt;Written off")</f>
        <v/>
      </c>
    </row>
    <row r="11">
      <c r="A11" s="29">
        <f>Lists!A8</f>
        <v/>
      </c>
      <c r="B11" s="29">
        <f>COUNTIFS('Asset register'!$D$2:$D$501,A11,'Asset register'!$AA$2:$AA$501,"&lt;&gt;Disposed",'Asset register'!$AA$2:$AA$501,"&lt;&gt;Written off")</f>
        <v/>
      </c>
      <c r="C11" s="30">
        <f>SUMIFS('Asset register'!$S$2:$S$501,'Asset register'!$D$2:$D$501,A11,'Asset register'!$AA$2:$AA$501,"&lt;&gt;Disposed",'Asset register'!$AA$2:$AA$501,"&lt;&gt;Written off")</f>
        <v/>
      </c>
      <c r="D11" s="30">
        <f>SUMIFS('Asset register'!$X$2:$X$501,'Asset register'!$D$2:$D$501,A11,'Asset register'!$AA$2:$AA$501,"&lt;&gt;Disposed",'Asset register'!$AA$2:$AA$501,"&lt;&gt;Written off")</f>
        <v/>
      </c>
      <c r="E11" s="30">
        <f>SUMIFS('Asset register'!$Y$2:$Y$501,'Asset register'!$D$2:$D$501,A11,'Asset register'!$AA$2:$AA$501,"&lt;&gt;Disposed",'Asset register'!$AA$2:$AA$501,"&lt;&gt;Written off")</f>
        <v/>
      </c>
      <c r="F11" s="30">
        <f>SUMIFS('Asset register'!$AM$2:$AM$501,'Asset register'!$D$2:$D$501,A11,'Asset register'!$AA$2:$AA$501,"&lt;&gt;Disposed",'Asset register'!$AA$2:$AA$501,"&lt;&gt;Written off")</f>
        <v/>
      </c>
    </row>
    <row r="12">
      <c r="A12" s="29">
        <f>Lists!A9</f>
        <v/>
      </c>
      <c r="B12" s="29">
        <f>COUNTIFS('Asset register'!$D$2:$D$501,A12,'Asset register'!$AA$2:$AA$501,"&lt;&gt;Disposed",'Asset register'!$AA$2:$AA$501,"&lt;&gt;Written off")</f>
        <v/>
      </c>
      <c r="C12" s="30">
        <f>SUMIFS('Asset register'!$S$2:$S$501,'Asset register'!$D$2:$D$501,A12,'Asset register'!$AA$2:$AA$501,"&lt;&gt;Disposed",'Asset register'!$AA$2:$AA$501,"&lt;&gt;Written off")</f>
        <v/>
      </c>
      <c r="D12" s="30">
        <f>SUMIFS('Asset register'!$X$2:$X$501,'Asset register'!$D$2:$D$501,A12,'Asset register'!$AA$2:$AA$501,"&lt;&gt;Disposed",'Asset register'!$AA$2:$AA$501,"&lt;&gt;Written off")</f>
        <v/>
      </c>
      <c r="E12" s="30">
        <f>SUMIFS('Asset register'!$Y$2:$Y$501,'Asset register'!$D$2:$D$501,A12,'Asset register'!$AA$2:$AA$501,"&lt;&gt;Disposed",'Asset register'!$AA$2:$AA$501,"&lt;&gt;Written off")</f>
        <v/>
      </c>
      <c r="F12" s="30">
        <f>SUMIFS('Asset register'!$AM$2:$AM$501,'Asset register'!$D$2:$D$501,A12,'Asset register'!$AA$2:$AA$501,"&lt;&gt;Disposed",'Asset register'!$AA$2:$AA$501,"&lt;&gt;Written off")</f>
        <v/>
      </c>
    </row>
    <row r="13">
      <c r="A13" s="29">
        <f>Lists!A10</f>
        <v/>
      </c>
      <c r="B13" s="29">
        <f>COUNTIFS('Asset register'!$D$2:$D$501,A13,'Asset register'!$AA$2:$AA$501,"&lt;&gt;Disposed",'Asset register'!$AA$2:$AA$501,"&lt;&gt;Written off")</f>
        <v/>
      </c>
      <c r="C13" s="30">
        <f>SUMIFS('Asset register'!$S$2:$S$501,'Asset register'!$D$2:$D$501,A13,'Asset register'!$AA$2:$AA$501,"&lt;&gt;Disposed",'Asset register'!$AA$2:$AA$501,"&lt;&gt;Written off")</f>
        <v/>
      </c>
      <c r="D13" s="30">
        <f>SUMIFS('Asset register'!$X$2:$X$501,'Asset register'!$D$2:$D$501,A13,'Asset register'!$AA$2:$AA$501,"&lt;&gt;Disposed",'Asset register'!$AA$2:$AA$501,"&lt;&gt;Written off")</f>
        <v/>
      </c>
      <c r="E13" s="30">
        <f>SUMIFS('Asset register'!$Y$2:$Y$501,'Asset register'!$D$2:$D$501,A13,'Asset register'!$AA$2:$AA$501,"&lt;&gt;Disposed",'Asset register'!$AA$2:$AA$501,"&lt;&gt;Written off")</f>
        <v/>
      </c>
      <c r="F13" s="30">
        <f>SUMIFS('Asset register'!$AM$2:$AM$501,'Asset register'!$D$2:$D$501,A13,'Asset register'!$AA$2:$AA$501,"&lt;&gt;Disposed",'Asset register'!$AA$2:$AA$501,"&lt;&gt;Written off")</f>
        <v/>
      </c>
    </row>
    <row r="14">
      <c r="A14" s="10" t="inlineStr">
        <is>
          <t>Total</t>
        </is>
      </c>
      <c r="B14" s="31">
        <f>SUM(B5:B13)</f>
        <v/>
      </c>
      <c r="C14" s="32">
        <f>SUM(C5:C13)</f>
        <v/>
      </c>
      <c r="D14" s="32">
        <f>SUM(D5:D13)</f>
        <v/>
      </c>
      <c r="E14" s="32">
        <f>SUM(E5:E13)</f>
        <v/>
      </c>
      <c r="F14" s="32">
        <f>SUM(F5:F13)</f>
        <v/>
      </c>
    </row>
    <row r="16">
      <c r="A16" s="33" t="inlineStr">
        <is>
          <t>Assets disposed (all time)</t>
        </is>
      </c>
      <c r="B16" s="34">
        <f>COUNTIF('Asset register'!$AA$2:$AA$501,"Disposed")</f>
        <v/>
      </c>
    </row>
    <row r="17">
      <c r="A17" s="33" t="inlineStr">
        <is>
          <t>Depreciation this year on disposed assets</t>
        </is>
      </c>
      <c r="B17" s="35">
        <f>SUMIFS('Asset register'!$AM$2:$AM$501,'Asset register'!$AA$2:$AA$501,"Disposed")</f>
        <v/>
      </c>
    </row>
    <row r="18">
      <c r="A18" s="33" t="inlineStr">
        <is>
          <t>Net gain / (loss) on disposals</t>
        </is>
      </c>
      <c r="B18" s="35">
        <f>SUM('Asset register'!$AN$2:$AN$501)</f>
        <v/>
      </c>
    </row>
    <row r="19">
      <c r="A19" s="31" t="inlineStr">
        <is>
          <t>Total depreciation this year (all rows)</t>
        </is>
      </c>
      <c r="B19" s="36">
        <f>SUM('Asset register'!$AM$2:$AM$501)</f>
        <v/>
      </c>
    </row>
    <row r="21">
      <c r="A21" s="8" t="inlineStr">
        <is>
          <t>Track this automatically with Asetavo — asetavo.com/free-asset-tracking-software</t>
        </is>
      </c>
    </row>
  </sheetData>
  <hyperlinks>
    <hyperlink xmlns:r="http://schemas.openxmlformats.org/officeDocument/2006/relationships" ref="A21" r:id="rId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4"/>
  <sheetViews>
    <sheetView workbookViewId="0">
      <pane ySplit="1" topLeftCell="A2" activePane="bottomLeft" state="frozen"/>
      <selection pane="bottomLeft" activeCell="A1" sqref="A1"/>
    </sheetView>
  </sheetViews>
  <sheetFormatPr baseColWidth="8" defaultRowHeight="15"/>
  <cols>
    <col width="26" customWidth="1" min="1" max="1"/>
    <col width="23" customWidth="1" min="2" max="2"/>
    <col width="16" customWidth="1" min="3" max="3"/>
    <col width="16" customWidth="1" min="4" max="4"/>
    <col width="16" customWidth="1" min="5" max="5"/>
    <col width="16" customWidth="1" min="6" max="6"/>
  </cols>
  <sheetData>
    <row r="1">
      <c r="A1" s="5" t="inlineStr">
        <is>
          <t>Category</t>
        </is>
      </c>
      <c r="B1" s="5" t="inlineStr">
        <is>
          <t>Depreciation method</t>
        </is>
      </c>
      <c r="C1" s="5" t="inlineStr">
        <is>
          <t>Condition</t>
        </is>
      </c>
      <c r="D1" s="5" t="inlineStr">
        <is>
          <t>Status</t>
        </is>
      </c>
      <c r="E1" s="5" t="inlineStr">
        <is>
          <t>Tag type</t>
        </is>
      </c>
      <c r="F1" s="5" t="inlineStr">
        <is>
          <t>Currency</t>
        </is>
      </c>
      <c r="H1" s="9" t="inlineStr">
        <is>
          <t>Edit these lists to match your organisation. Add new values at the bottom of a list, then extend the matching dropdown range (Data → Data validation) if you add more rows than the list had.</t>
        </is>
      </c>
    </row>
    <row r="2">
      <c r="A2" t="inlineStr">
        <is>
          <t>IT equipment</t>
        </is>
      </c>
      <c r="B2" t="inlineStr">
        <is>
          <t>Straight-line</t>
        </is>
      </c>
      <c r="C2" t="inlineStr">
        <is>
          <t>New</t>
        </is>
      </c>
      <c r="D2" t="inlineStr">
        <is>
          <t>In use</t>
        </is>
      </c>
      <c r="E2" t="inlineStr">
        <is>
          <t>QR</t>
        </is>
      </c>
      <c r="F2" t="inlineStr">
        <is>
          <t>USD</t>
        </is>
      </c>
    </row>
    <row r="3">
      <c r="A3" t="inlineStr">
        <is>
          <t>Furniture &amp; fittings</t>
        </is>
      </c>
      <c r="B3" t="inlineStr">
        <is>
          <t>Reducing balance</t>
        </is>
      </c>
      <c r="C3" t="inlineStr">
        <is>
          <t>Good</t>
        </is>
      </c>
      <c r="D3" t="inlineStr">
        <is>
          <t>In store</t>
        </is>
      </c>
      <c r="E3" t="inlineStr">
        <is>
          <t>Barcode</t>
        </is>
      </c>
      <c r="F3" t="inlineStr">
        <is>
          <t>EUR</t>
        </is>
      </c>
    </row>
    <row r="4">
      <c r="A4" t="inlineStr">
        <is>
          <t>Vehicles</t>
        </is>
      </c>
      <c r="B4" t="inlineStr">
        <is>
          <t>DDB</t>
        </is>
      </c>
      <c r="C4" t="inlineStr">
        <is>
          <t>Fair</t>
        </is>
      </c>
      <c r="D4" t="inlineStr">
        <is>
          <t>In repair</t>
        </is>
      </c>
      <c r="E4" t="inlineStr">
        <is>
          <t>NFC</t>
        </is>
      </c>
      <c r="F4" t="inlineStr">
        <is>
          <t>GBP</t>
        </is>
      </c>
    </row>
    <row r="5">
      <c r="A5" t="inlineStr">
        <is>
          <t>Plant &amp; machinery</t>
        </is>
      </c>
      <c r="B5" t="inlineStr">
        <is>
          <t>SYD</t>
        </is>
      </c>
      <c r="C5" t="inlineStr">
        <is>
          <t>Poor</t>
        </is>
      </c>
      <c r="D5" t="inlineStr">
        <is>
          <t>In transit</t>
        </is>
      </c>
      <c r="E5" t="inlineStr">
        <is>
          <t>UHF RFID</t>
        </is>
      </c>
      <c r="F5" t="inlineStr">
        <is>
          <t>KES</t>
        </is>
      </c>
    </row>
    <row r="6">
      <c r="A6" t="inlineStr">
        <is>
          <t>Office equipment</t>
        </is>
      </c>
      <c r="B6" t="inlineStr">
        <is>
          <t>None</t>
        </is>
      </c>
      <c r="C6" t="inlineStr">
        <is>
          <t>Scrap</t>
        </is>
      </c>
      <c r="D6" t="inlineStr">
        <is>
          <t>Disposed</t>
        </is>
      </c>
      <c r="E6" t="inlineStr">
        <is>
          <t>None yet</t>
        </is>
      </c>
      <c r="F6" t="inlineStr">
        <is>
          <t>TZS</t>
        </is>
      </c>
    </row>
    <row r="7">
      <c r="A7" t="inlineStr">
        <is>
          <t>Tools &amp; equipment</t>
        </is>
      </c>
      <c r="D7" t="inlineStr">
        <is>
          <t>Lost</t>
        </is>
      </c>
      <c r="F7" t="inlineStr">
        <is>
          <t>UGX</t>
        </is>
      </c>
    </row>
    <row r="8">
      <c r="A8" t="inlineStr">
        <is>
          <t>Buildings &amp; improvements</t>
        </is>
      </c>
      <c r="D8" t="inlineStr">
        <is>
          <t>Written off</t>
        </is>
      </c>
      <c r="F8" t="inlineStr">
        <is>
          <t>RWF</t>
        </is>
      </c>
    </row>
    <row r="9">
      <c r="A9" t="inlineStr">
        <is>
          <t>Land</t>
        </is>
      </c>
      <c r="F9" t="inlineStr">
        <is>
          <t>NGN</t>
        </is>
      </c>
    </row>
    <row r="10">
      <c r="A10" t="inlineStr">
        <is>
          <t>Other</t>
        </is>
      </c>
      <c r="F10" t="inlineStr">
        <is>
          <t>ZAR</t>
        </is>
      </c>
    </row>
    <row r="11">
      <c r="F11" t="inlineStr">
        <is>
          <t>INR</t>
        </is>
      </c>
    </row>
    <row r="12">
      <c r="F12" t="inlineStr">
        <is>
          <t>AED</t>
        </is>
      </c>
    </row>
    <row r="13">
      <c r="F13" t="inlineStr">
        <is>
          <t>CAD</t>
        </is>
      </c>
    </row>
    <row r="14">
      <c r="F14" t="inlineStr">
        <is>
          <t>AUD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2026-10-08T06:11:05Z</dcterms:created>
  <dcterms:modified xmlns:dcterms="http://purl.org/dc/terms/" xmlns:xsi="http://www.w3.org/2001/XMLSchema-instance" xsi:type="dcterms:W3CDTF">2026-10-08T06:11:06Z</dcterms:modified>
</cp:coreProperties>
</file>